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16.xml" ContentType="application/vnd.openxmlformats-officedocument.spreadsheetml.revisionLog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1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0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92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3111.xml" ContentType="application/vnd.openxmlformats-officedocument.spreadsheetml.revisionLog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8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95" windowWidth="12120" windowHeight="8700" activeTab="1"/>
  </bookViews>
  <sheets>
    <sheet name="Функцион2018" sheetId="2" r:id="rId1"/>
    <sheet name="Вед2018" sheetId="1" r:id="rId2"/>
    <sheet name="Лист1" sheetId="3" r:id="rId3"/>
  </sheets>
  <definedNames>
    <definedName name="_xlnm._FilterDatabase" localSheetId="1" hidden="1">Вед2018!$E$1:$E$386</definedName>
    <definedName name="Z_0ACD4CF0_131D_4AF9_8EA8_EB7D45CA4E62_.wvu.FilterData" localSheetId="1" hidden="1">Вед2018!$A$10:$G$260</definedName>
    <definedName name="Z_0ACD4CF0_131D_4AF9_8EA8_EB7D45CA4E62_.wvu.Rows" localSheetId="1" hidden="1">Вед2018!#REF!,Вед2018!#REF!</definedName>
    <definedName name="Z_0ACD4CF0_131D_4AF9_8EA8_EB7D45CA4E62_.wvu.Rows" localSheetId="0" hidden="1">Функцион2018!#REF!,Функцион2018!#REF!,Функцион2018!#REF!,Функцион2018!#REF!</definedName>
    <definedName name="Z_0E3B6476_041A_4C81_86F3_77105ACFABFF_.wvu.FilterData" localSheetId="1" hidden="1">Вед2018!$A$10:$G$260</definedName>
    <definedName name="Z_0FBBC42C_2EE2_4818_A608_26471E234100_.wvu.FilterData" localSheetId="1" hidden="1">Вед2018!$A$10:$G$260</definedName>
    <definedName name="Z_0FBBC42C_2EE2_4818_A608_26471E234100_.wvu.Rows" localSheetId="0" hidden="1">Функцион2018!#REF!,Функцион2018!#REF!,Функцион2018!#REF!,Функцион2018!#REF!</definedName>
    <definedName name="Z_1907A0D4_1A04_46C7_BA13_828BC6B0DA3F_.wvu.FilterData" localSheetId="1" hidden="1">Вед2018!$A$10:$G$260</definedName>
    <definedName name="Z_1D456867_ECB1_4D8E_874D_17CC7019B8E5_.wvu.FilterData" localSheetId="1" hidden="1">Вед2018!$E$1:$E$386</definedName>
    <definedName name="Z_20C0E8E3_3EF4_465E_97E0_C7C6F948BFE1_.wvu.FilterData" localSheetId="1" hidden="1">Вед2018!$A$10:$G$260</definedName>
    <definedName name="Z_253C72F5_67E4_4ADD_9DF0_B2E4EA188CBE_.wvu.FilterData" localSheetId="1" hidden="1">Вед2018!$A$10:$G$260</definedName>
    <definedName name="Z_29832ADE_E753_4B19_A9AD_744B0F1D561C_.wvu.FilterData" localSheetId="1" hidden="1">Вед2018!$A$10:$G$260</definedName>
    <definedName name="Z_29832ADE_E753_4B19_A9AD_744B0F1D561C_.wvu.Rows" localSheetId="0" hidden="1">Функцион2018!#REF!,Функцион2018!#REF!,Функцион2018!#REF!,Функцион2018!#REF!</definedName>
    <definedName name="Z_2A06B939_39D8_497C_A2E3_EE3A6EB9FB72_.wvu.FilterData" localSheetId="1" hidden="1">Вед2018!$A$10:$G$260</definedName>
    <definedName name="Z_36478EFE_DDFF_4CC3_A0EE_AB3E13284FF8_.wvu.FilterData" localSheetId="1" hidden="1">Вед2018!$A$10:$G$260</definedName>
    <definedName name="Z_36478EFE_DDFF_4CC3_A0EE_AB3E13284FF8_.wvu.Rows" localSheetId="0" hidden="1">Функцион2018!#REF!,Функцион2018!#REF!,Функцион2018!#REF!,Функцион2018!#REF!</definedName>
    <definedName name="Z_37E59057_FA9A_4499_A67F_A3B4FE9F3836_.wvu.FilterData" localSheetId="1" hidden="1">Вед2018!$A$10:$G$260</definedName>
    <definedName name="Z_4AFE580B_5859_43EA_97A2_5651E4714E35_.wvu.FilterData" localSheetId="1" hidden="1">Вед2018!$A$10:$G$260</definedName>
    <definedName name="Z_4B9B207B_6CB3_41F8_8337_9F000A41BEAC_.wvu.FilterData" localSheetId="1" hidden="1">Вед2018!$A$10:$G$260</definedName>
    <definedName name="Z_4F39DA5C_9059_406E_9F89_B6E20F660542_.wvu.FilterData" localSheetId="1" hidden="1">Вед2018!$E$1:$E$386</definedName>
    <definedName name="Z_4F39DA5C_9059_406E_9F89_B6E20F660542_.wvu.PrintArea" localSheetId="1" hidden="1">Вед2018!$A$1:$H$256</definedName>
    <definedName name="Z_4F39DA5C_9059_406E_9F89_B6E20F660542_.wvu.Rows" localSheetId="1" hidden="1">Вед2018!$224:$225</definedName>
    <definedName name="Z_4F39DA5C_9059_406E_9F89_B6E20F660542_.wvu.Rows" localSheetId="0" hidden="1">Функцион2018!$24:$24,Функцион2018!$36:$37</definedName>
    <definedName name="Z_50CBCF93_2CCE_46AB_B05B_EAEB477D4633_.wvu.FilterData" localSheetId="1" hidden="1">Вед2018!$E$1:$E$386</definedName>
    <definedName name="Z_57844251_B758_4481_8918_10B3DC9EDEC9_.wvu.FilterData" localSheetId="1" hidden="1">Вед2018!$A$10:$G$260</definedName>
    <definedName name="Z_57844251_B758_4481_8918_10B3DC9EDEC9_.wvu.Rows" localSheetId="0" hidden="1">Функцион2018!#REF!,Функцион2018!#REF!,Функцион2018!#REF!,Функцион2018!#REF!</definedName>
    <definedName name="Z_5BC0DEB3_F40D_4CCB_9770_2E633770B70C_.wvu.FilterData" localSheetId="1" hidden="1">Вед2018!$A$10:$G$260</definedName>
    <definedName name="Z_6646D18D_37BA_4A1B_B8A1_44C68A7B234E_.wvu.FilterData" localSheetId="1" hidden="1">Вед2018!$A$10:$G$260</definedName>
    <definedName name="Z_6F978F07_3FDE_4D78_94FF_160F89901F78_.wvu.FilterData" localSheetId="1" hidden="1">Вед2018!$A$10:$G$260</definedName>
    <definedName name="Z_7E336887_6101_4DFD_8AF4_393AC06F9DB0_.wvu.FilterData" localSheetId="1" hidden="1">Вед2018!$A$10:$G$260</definedName>
    <definedName name="Z_904EEE15_F689_401B_A578_41B4FD2E001F_.wvu.FilterData" localSheetId="1" hidden="1">Вед2018!$A$10:$G$260</definedName>
    <definedName name="Z_92CDF3B4_C714_4C4F_B6E7_8E2145A85B5B_.wvu.FilterData" localSheetId="1" hidden="1">Вед2018!$E$1:$E$386</definedName>
    <definedName name="Z_9A449F28_629C_4C81_BBAC_5D024334F61E_.wvu.FilterData" localSheetId="1" hidden="1">Вед2018!$A$10:$G$260</definedName>
    <definedName name="Z_AD026BBE_A63D_429C_82A2_555458D3BE3D_.wvu.FilterData" localSheetId="1" hidden="1">Вед2018!$A$10:$G$260</definedName>
    <definedName name="Z_C9E7C3F5_D873_4B13_B6C1_5028AF66D368_.wvu.FilterData" localSheetId="1" hidden="1">Вед2018!$A$10:$G$260</definedName>
    <definedName name="Z_C9E7C3F5_D873_4B13_B6C1_5028AF66D368_.wvu.Rows" localSheetId="0" hidden="1">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CE5B1187_CBDF_4A81_845E_6F7CFAE1338B_.wvu.FilterData" localSheetId="1" hidden="1">Вед2018!$A$10:$G$260</definedName>
    <definedName name="Z_CF820AF5_4BA7_438F_997C_2DECDEF7692C_.wvu.FilterData" localSheetId="1" hidden="1">Вед2018!$A$10:$G$260</definedName>
    <definedName name="Z_CF820AF5_4BA7_438F_997C_2DECDEF7692C_.wvu.Rows" localSheetId="0" hidden="1">Функцион2018!#REF!,Функцион2018!#REF!,Функцион2018!#REF!,Функцион2018!#REF!</definedName>
    <definedName name="Z_D0D32967_A2A4_4D09_946D_9F01A9BC030D_.wvu.FilterData" localSheetId="1" hidden="1">Вед2018!$E$1:$E$386</definedName>
    <definedName name="Z_D69462E6_606E_45E0_B8F4_DE92F60478DA_.wvu.FilterData" localSheetId="1" hidden="1">Вед2018!$A$10:$G$260</definedName>
    <definedName name="Z_DBFC4B20_9CA2_4D10_A39E_5259EAE7CE3E_.wvu.FilterData" localSheetId="1" hidden="1">Вед2018!$A$10:$G$260</definedName>
    <definedName name="Z_DEA7E5F9_FE68_44C3_90E8_EC6A05FF5495_.wvu.FilterData" localSheetId="1" hidden="1">Вед2018!$A$10:$G$260</definedName>
    <definedName name="Z_E174612B_43F1_44FB_9D84_33D2477DA935_.wvu.FilterData" localSheetId="1" hidden="1">Вед2018!$A$10:$G$260</definedName>
    <definedName name="Z_EFC73C27_509B_470B_A461_6B39302B1D0E_.wvu.FilterData" localSheetId="1" hidden="1">Вед2018!$A$10:$G$260</definedName>
    <definedName name="Z_F21A4357_4490_4DC5_AD5F_D74077CDC8A9_.wvu.Cols" localSheetId="0" hidden="1">Функцион2018!$F:$F</definedName>
    <definedName name="Z_F21A4357_4490_4DC5_AD5F_D74077CDC8A9_.wvu.FilterData" localSheetId="1" hidden="1">Вед2018!$A$10:$G$260</definedName>
    <definedName name="Z_F21A4357_4490_4DC5_AD5F_D74077CDC8A9_.wvu.Rows" localSheetId="0" hidden="1">Функцион2018!#REF!,Функцион2018!#REF!,Функцион2018!$14:$15,Функцион2018!#REF!,Функцион2018!#REF!,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F302894A_CF82_456A_A20A_50CE2A9DD3D8_.wvu.FilterData" localSheetId="1" hidden="1">Вед2018!$A$10:$G$260</definedName>
  </definedNames>
  <calcPr calcId="125725"/>
  <customWorkbookViews>
    <customWorkbookView name="Юрист - Личное представление" guid="{1D456867-ECB1-4D8E-874D-17CC7019B8E5}" mergeInterval="0" personalView="1" maximized="1" xWindow="1" yWindow="1" windowWidth="1916" windowHeight="846" activeSheetId="1"/>
    <customWorkbookView name="128 - Личное представление" guid="{92CDF3B4-C714-4C4F-B6E7-8E2145A85B5B}" mergeInterval="0" personalView="1" maximized="1" windowWidth="1916" windowHeight="855" activeSheetId="2"/>
    <customWorkbookView name="ZamGlav - Личное представление" guid="{D0D32967-A2A4-4D09-946D-9F01A9BC030D}" mergeInterval="0" personalView="1" maximized="1" windowWidth="1567" windowHeight="563" activeSheetId="2"/>
    <customWorkbookView name="Зам. главы - Личное представление" guid="{1907A0D4-1A04-46C7-BA13-828BC6B0DA3F}" mergeInterval="0" personalView="1" maximized="1" windowWidth="1916" windowHeight="815" activeSheetId="1"/>
    <customWorkbookView name="Dmitry Pasynkov - Личное представление" guid="{37E59057-FA9A-4499-A67F-A3B4FE9F3836}" mergeInterval="0" personalView="1" maximized="1" xWindow="1" yWindow="1" windowWidth="1916" windowHeight="850" activeSheetId="1"/>
    <customWorkbookView name="Главбух - Личное представление" guid="{904EEE15-F689-401B-A578-41B4FD2E001F}" mergeInterval="0" personalView="1" maximized="1" xWindow="-8" yWindow="-8" windowWidth="1456" windowHeight="876" activeSheetId="1"/>
    <customWorkbookView name="admin - Личное представление" guid="{0ACD4CF0-131D-4AF9-8EA8-EB7D45CA4E62}" mergeInterval="0" personalView="1" maximized="1" xWindow="1" yWindow="1" windowWidth="1440" windowHeight="670" activeSheetId="1"/>
    <customWorkbookView name="Шишкина - Личное представление" guid="{CF820AF5-4BA7-438F-997C-2DECDEF7692C}" mergeInterval="0" personalView="1" maximized="1" xWindow="1" yWindow="1" windowWidth="1024" windowHeight="548" activeSheetId="1"/>
    <customWorkbookView name="1 - Личное представление" guid="{29832ADE-E753-4B19-A9AD-744B0F1D561C}" mergeInterval="0" personalView="1" maximized="1" windowWidth="1020" windowHeight="543" activeSheetId="2"/>
    <customWorkbookView name="Serova - Личное представление" guid="{C9E7C3F5-D873-4B13-B6C1-5028AF66D368}" mergeInterval="0" personalView="1" maximized="1" windowWidth="1020" windowHeight="629" activeSheetId="1"/>
    <customWorkbookView name="Ira - Личное представление" guid="{F21A4357-4490-4DC5-AD5F-D74077CDC8A9}" mergeInterval="0" personalView="1" maximized="1" windowWidth="1020" windowHeight="630" activeSheetId="1"/>
    <customWorkbookView name="Astrahanskay - Личное представление" guid="{4AFE580B-5859-43EA-97A2-5651E4714E35}" mergeInterval="0" personalView="1" maximized="1" windowWidth="1020" windowHeight="603" activeSheetId="1"/>
    <customWorkbookView name="Bogatyreva - Личное представление" guid="{6646D18D-37BA-4A1B-B8A1-44C68A7B234E}" mergeInterval="0" personalView="1" maximized="1" windowWidth="1020" windowHeight="603" activeSheetId="1"/>
    <customWorkbookView name="Галина Анатольевна - Личное представление" guid="{B7F6698D-FDFC-4005-9BE6-CD19CE450D9E}" mergeInterval="0" personalView="1" maximized="1" windowWidth="1020" windowHeight="602" activeSheetId="2"/>
    <customWorkbookView name="Chuhmanova - Личное представление" guid="{42BBB126-133B-41E7-B0B5-848C149E7749}" mergeInterval="0" personalView="1" maximized="1" windowWidth="1020" windowHeight="603" activeSheetId="1"/>
    <customWorkbookView name="Рита - Личное представление" guid="{F302894A-CF82-456A-A20A-50CE2A9DD3D8}" mergeInterval="0" personalView="1" maximized="1" windowWidth="796" windowHeight="432" activeSheetId="1"/>
    <customWorkbookView name="teh_kir - Личное представление" guid="{36478EFE-DDFF-4CC3-A0EE-AB3E13284FF8}" mergeInterval="0" personalView="1" maximized="1" windowWidth="929" windowHeight="556" activeSheetId="1"/>
    <customWorkbookView name="Computer - Личное представление" guid="{0FBBC42C-2EE2-4818-A608-26471E234100}" mergeInterval="0" personalView="1" maximized="1" windowWidth="1276" windowHeight="852" activeSheetId="2"/>
    <customWorkbookView name="09614 - Личное представление" guid="{57844251-B758-4481-8918-10B3DC9EDEC9}" mergeInterval="0" personalView="1" maximized="1" xWindow="1" yWindow="1" windowWidth="1020" windowHeight="523" activeSheetId="1"/>
    <customWorkbookView name="Каргаполова Ольга Владимировна - Личное представление" guid="{E174612B-43F1-44FB-9D84-33D2477DA935}" mergeInterval="0" personalView="1" maximized="1" windowWidth="1916" windowHeight="839" activeSheetId="2"/>
    <customWorkbookView name="21 - Личное представление" guid="{50CBCF93-2CCE-46AB-B05B-EAEB477D4633}" mergeInterval="0" personalView="1" maximized="1" xWindow="1" yWindow="1" windowWidth="1760" windowHeight="717" activeSheetId="2"/>
    <customWorkbookView name="127 - Личное представление" guid="{4F39DA5C-9059-406E-9F89-B6E20F660542}" mergeInterval="0" personalView="1" maximized="1" xWindow="1" yWindow="1" windowWidth="1920" windowHeight="850" activeSheetId="1" showComments="commIndAndComment"/>
  </customWorkbookViews>
</workbook>
</file>

<file path=xl/calcChain.xml><?xml version="1.0" encoding="utf-8"?>
<calcChain xmlns="http://schemas.openxmlformats.org/spreadsheetml/2006/main">
  <c r="G55" i="1"/>
  <c r="G132"/>
  <c r="G139"/>
  <c r="H186"/>
  <c r="H185"/>
  <c r="G116"/>
  <c r="G63"/>
  <c r="G62" s="1"/>
  <c r="G61" s="1"/>
  <c r="G33"/>
  <c r="G32"/>
  <c r="G21"/>
  <c r="G20"/>
  <c r="G215"/>
  <c r="G214"/>
  <c r="G211"/>
  <c r="G209"/>
  <c r="G122"/>
  <c r="G126"/>
  <c r="G169"/>
  <c r="G163"/>
  <c r="G158"/>
  <c r="G93"/>
  <c r="G52"/>
  <c r="G45"/>
  <c r="G199"/>
  <c r="G150"/>
  <c r="G218"/>
  <c r="G147"/>
  <c r="G177"/>
  <c r="A183"/>
  <c r="G184"/>
  <c r="H184" s="1"/>
  <c r="G59"/>
  <c r="G99"/>
  <c r="G35"/>
  <c r="G198"/>
  <c r="G197"/>
  <c r="G195"/>
  <c r="G194"/>
  <c r="G104"/>
  <c r="G241"/>
  <c r="G240"/>
  <c r="G29"/>
  <c r="G28"/>
  <c r="G183" l="1"/>
  <c r="H183" s="1"/>
  <c r="G210"/>
  <c r="G60"/>
  <c r="G86"/>
  <c r="G142"/>
  <c r="G87"/>
  <c r="G58"/>
  <c r="G237"/>
  <c r="G236"/>
  <c r="G112"/>
  <c r="G38" l="1"/>
  <c r="G39"/>
  <c r="G37" l="1"/>
  <c r="G224"/>
  <c r="G223" s="1"/>
  <c r="G171"/>
  <c r="G176"/>
  <c r="G173"/>
  <c r="G175"/>
  <c r="G36" l="1"/>
  <c r="D11" i="2" s="1"/>
  <c r="G170" i="1"/>
  <c r="G172"/>
  <c r="G174"/>
  <c r="G27" l="1"/>
  <c r="G26" s="1"/>
  <c r="G256"/>
  <c r="G182"/>
  <c r="G221"/>
  <c r="G220" s="1"/>
  <c r="G168"/>
  <c r="G167" s="1"/>
  <c r="G193"/>
  <c r="G192" l="1"/>
  <c r="G166"/>
  <c r="G165"/>
  <c r="G232"/>
  <c r="G231" s="1"/>
  <c r="G230" s="1"/>
  <c r="G228" l="1"/>
  <c r="G227" s="1"/>
  <c r="G226" s="1"/>
  <c r="G57" l="1"/>
  <c r="G208"/>
  <c r="G146"/>
  <c r="G145" s="1"/>
  <c r="G149"/>
  <c r="G148" s="1"/>
  <c r="G144" l="1"/>
  <c r="H82" l="1"/>
  <c r="H81"/>
  <c r="G80"/>
  <c r="H80" s="1"/>
  <c r="H79" s="1"/>
  <c r="H78" s="1"/>
  <c r="G85"/>
  <c r="G71"/>
  <c r="G31"/>
  <c r="G196"/>
  <c r="G190" s="1"/>
  <c r="G191" l="1"/>
  <c r="G79"/>
  <c r="G78" s="1"/>
  <c r="G235"/>
  <c r="G239"/>
  <c r="G238" s="1"/>
  <c r="G19"/>
  <c r="G18" s="1"/>
  <c r="G17" s="1"/>
  <c r="G16" s="1"/>
  <c r="G30"/>
  <c r="G34"/>
  <c r="G41"/>
  <c r="D12" i="2" s="1"/>
  <c r="G44" i="1"/>
  <c r="G43" s="1"/>
  <c r="G42" s="1"/>
  <c r="G51"/>
  <c r="G50" s="1"/>
  <c r="G54"/>
  <c r="G53" s="1"/>
  <c r="G56"/>
  <c r="H71"/>
  <c r="H72"/>
  <c r="H73"/>
  <c r="H85"/>
  <c r="H86"/>
  <c r="H87"/>
  <c r="G92"/>
  <c r="G91" s="1"/>
  <c r="G90" s="1"/>
  <c r="G89" s="1"/>
  <c r="G88" s="1"/>
  <c r="D18" i="2" s="1"/>
  <c r="G98" i="1"/>
  <c r="G97" s="1"/>
  <c r="G96" s="1"/>
  <c r="G103"/>
  <c r="G102" s="1"/>
  <c r="G111"/>
  <c r="G110" s="1"/>
  <c r="G115"/>
  <c r="G113" s="1"/>
  <c r="G121"/>
  <c r="G120" s="1"/>
  <c r="G119" s="1"/>
  <c r="G125"/>
  <c r="G124" s="1"/>
  <c r="G123" s="1"/>
  <c r="G131"/>
  <c r="G130" s="1"/>
  <c r="G129" s="1"/>
  <c r="G128" s="1"/>
  <c r="G127" s="1"/>
  <c r="D23" i="2" s="1"/>
  <c r="G138" i="1"/>
  <c r="G137" s="1"/>
  <c r="G141"/>
  <c r="G140" s="1"/>
  <c r="G143"/>
  <c r="D27" i="2" s="1"/>
  <c r="G157" i="1"/>
  <c r="G156" s="1"/>
  <c r="G155" s="1"/>
  <c r="G154" s="1"/>
  <c r="G153" s="1"/>
  <c r="G162"/>
  <c r="G160" s="1"/>
  <c r="G159" s="1"/>
  <c r="G181"/>
  <c r="G207"/>
  <c r="G213"/>
  <c r="G212" s="1"/>
  <c r="G217"/>
  <c r="G216" s="1"/>
  <c r="G248"/>
  <c r="G247" s="1"/>
  <c r="G246" s="1"/>
  <c r="G245" s="1"/>
  <c r="G244" s="1"/>
  <c r="G243" s="1"/>
  <c r="G253"/>
  <c r="G252" s="1"/>
  <c r="G251" s="1"/>
  <c r="G255"/>
  <c r="G254" s="1"/>
  <c r="E9" i="2"/>
  <c r="E8" s="1"/>
  <c r="D36"/>
  <c r="G25" i="1" l="1"/>
  <c r="G24" s="1"/>
  <c r="G23" s="1"/>
  <c r="G22" s="1"/>
  <c r="D10" i="2" s="1"/>
  <c r="G206" i="1"/>
  <c r="G205" s="1"/>
  <c r="G204" s="1"/>
  <c r="G179"/>
  <c r="G178" s="1"/>
  <c r="D29" i="2" s="1"/>
  <c r="G180" i="1"/>
  <c r="G164"/>
  <c r="G152" s="1"/>
  <c r="G109"/>
  <c r="G84"/>
  <c r="H84" s="1"/>
  <c r="H83" s="1"/>
  <c r="H77" s="1"/>
  <c r="H76" s="1"/>
  <c r="G101"/>
  <c r="G49"/>
  <c r="G48" s="1"/>
  <c r="G47" s="1"/>
  <c r="G46" s="1"/>
  <c r="G136"/>
  <c r="G135" s="1"/>
  <c r="G134" s="1"/>
  <c r="D26" i="2" s="1"/>
  <c r="G114" i="1"/>
  <c r="G118"/>
  <c r="G117" s="1"/>
  <c r="D22" i="2" s="1"/>
  <c r="G189" i="1"/>
  <c r="G188" s="1"/>
  <c r="G187" s="1"/>
  <c r="D31" i="2" s="1"/>
  <c r="D30" s="1"/>
  <c r="G250" i="1"/>
  <c r="D39" i="2"/>
  <c r="D38" s="1"/>
  <c r="G242" i="1"/>
  <c r="D35" i="2"/>
  <c r="D34" s="1"/>
  <c r="G15" i="1"/>
  <c r="G14" s="1"/>
  <c r="G161"/>
  <c r="G70"/>
  <c r="G234"/>
  <c r="D13" i="2" l="1"/>
  <c r="G13" i="1"/>
  <c r="G95"/>
  <c r="G94" s="1"/>
  <c r="D19" i="2" s="1"/>
  <c r="G203" i="1"/>
  <c r="D33" i="2" s="1"/>
  <c r="D32" s="1"/>
  <c r="G151" i="1"/>
  <c r="D28" i="2" s="1"/>
  <c r="D25" s="1"/>
  <c r="G108" i="1"/>
  <c r="G107" s="1"/>
  <c r="G106" s="1"/>
  <c r="G83"/>
  <c r="G77" s="1"/>
  <c r="G76" s="1"/>
  <c r="G69"/>
  <c r="G68" s="1"/>
  <c r="G67" s="1"/>
  <c r="H70"/>
  <c r="D9" i="2"/>
  <c r="D8" l="1"/>
  <c r="G133" i="1"/>
  <c r="G105"/>
  <c r="D21" i="2"/>
  <c r="D20" s="1"/>
  <c r="G75" i="1"/>
  <c r="G202"/>
  <c r="H69"/>
  <c r="H68" s="1"/>
  <c r="D17" i="2" l="1"/>
  <c r="D16" s="1"/>
  <c r="G74" i="1"/>
  <c r="H75"/>
  <c r="H74" s="1"/>
  <c r="H67" l="1"/>
  <c r="G66"/>
  <c r="G12" s="1"/>
  <c r="E17" i="2"/>
  <c r="E16" s="1"/>
  <c r="D15" l="1"/>
  <c r="E15" s="1"/>
  <c r="E14" s="1"/>
  <c r="E40" s="1"/>
  <c r="D14"/>
  <c r="H66" i="1"/>
  <c r="H12" s="1"/>
  <c r="D40" i="2" l="1"/>
</calcChain>
</file>

<file path=xl/sharedStrings.xml><?xml version="1.0" encoding="utf-8"?>
<sst xmlns="http://schemas.openxmlformats.org/spreadsheetml/2006/main" count="577" uniqueCount="216">
  <si>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</si>
  <si>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</si>
  <si>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</si>
  <si>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</si>
  <si>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</si>
  <si>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</si>
  <si>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</si>
  <si>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</si>
  <si>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</si>
  <si>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</si>
  <si>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</si>
  <si>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</si>
  <si>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</si>
  <si>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</si>
  <si>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</si>
  <si>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</si>
  <si>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</si>
  <si>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</si>
  <si>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</si>
  <si>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</si>
  <si>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</si>
  <si>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</si>
  <si>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</si>
  <si>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</si>
  <si>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</si>
  <si>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</si>
  <si>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</si>
  <si>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</si>
  <si>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</si>
  <si>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</si>
  <si>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</si>
  <si>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</si>
  <si>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</si>
  <si>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</si>
  <si>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</si>
  <si>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</si>
  <si>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</si>
  <si>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</si>
  <si>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</si>
  <si>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</si>
  <si>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</si>
  <si>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</si>
  <si>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</si>
  <si>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</si>
  <si>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</si>
  <si>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</si>
  <si>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</si>
  <si>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</si>
  <si>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</si>
  <si>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</si>
  <si>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</si>
  <si>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</si>
  <si>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</si>
  <si>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</si>
  <si>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</si>
  <si>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</si>
  <si>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</si>
  <si>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</si>
  <si>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</si>
  <si>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</si>
  <si>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</si>
  <si>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</si>
  <si>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</si>
  <si>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</si>
  <si>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0520000000</t>
  </si>
  <si>
    <t>01</t>
  </si>
  <si>
    <t>Жилищное хозяйство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</si>
  <si>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</si>
  <si>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</si>
  <si>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</si>
  <si>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</si>
  <si>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</si>
  <si>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</si>
  <si>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</si>
  <si>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</si>
  <si>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</si>
  <si>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</si>
  <si>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</si>
  <si>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</si>
  <si>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</si>
  <si>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</si>
  <si>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</si>
  <si>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</si>
  <si>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Подпрограмма 2. «Развитие молодежной политики»</t>
  </si>
  <si>
    <t>0230000000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</si>
  <si>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</si>
  <si>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</si>
  <si>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0210100000</t>
  </si>
  <si>
    <t>0210176100</t>
  </si>
  <si>
    <t>Подпрограмма 3 «Санитарная очистка сельского поселения Мулымья»</t>
  </si>
  <si>
    <t>0400000000</t>
  </si>
  <si>
    <t>0400274190</t>
  </si>
  <si>
    <t>0400374190</t>
  </si>
  <si>
    <t>0100982300</t>
  </si>
  <si>
    <t>01009S2300</t>
  </si>
  <si>
    <t>6000002190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</si>
  <si>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</si>
  <si>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</si>
  <si>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</si>
  <si>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</si>
  <si>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</si>
  <si>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</si>
  <si>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</si>
  <si>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</si>
  <si>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</si>
  <si>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</si>
  <si>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</si>
  <si>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</si>
  <si>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</si>
  <si>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</si>
  <si>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</si>
  <si>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</si>
  <si>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</si>
  <si>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</si>
  <si>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</si>
  <si>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</si>
  <si>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</si>
  <si>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</si>
  <si>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</si>
  <si>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</si>
  <si>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</si>
  <si>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</si>
  <si>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</si>
  <si>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</si>
  <si>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</si>
  <si>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</si>
  <si>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</si>
  <si>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</si>
  <si>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</si>
  <si>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</si>
  <si>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</si>
  <si>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</si>
  <si>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</si>
  <si>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</si>
  <si>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</si>
  <si>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</si>
  <si>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</si>
  <si>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</si>
  <si>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</si>
  <si>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</si>
  <si>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</si>
  <si>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</si>
  <si>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</si>
  <si>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</si>
  <si>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</si>
  <si>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Закупка товаров, работ, услуг в целях капитального ремонта государственного (муниципального) имущества</t>
  </si>
  <si>
    <t>Уплата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</si>
  <si>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</si>
  <si>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</si>
  <si>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</si>
  <si>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Основное мероприятие «Сохранение, развитие, популяризация традиций культуры»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</si>
  <si>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2018 год</t>
  </si>
  <si>
    <t>на 2018 год</t>
  </si>
  <si>
    <t xml:space="preserve">Мероприятия по содействию трудоустройства граждан </t>
  </si>
  <si>
    <t>Сумма на 2018 год ( рублей)</t>
  </si>
  <si>
    <t xml:space="preserve"> 2018 год (рублей)</t>
  </si>
  <si>
    <t>Расходы, направленные на реализацию указов Президента Российской Федерации (софинансирование)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</si>
  <si>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</si>
  <si>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 xml:space="preserve">депутатов </t>
  </si>
  <si>
    <t xml:space="preserve">Расходы, направлденные на реализацию указов Президента Российской Федерации </t>
  </si>
  <si>
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</si>
  <si>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</si>
  <si>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</si>
  <si>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Расходы на реализацию полномочий в сфере жилищно-коммунального комплекса (бюджет района)</t>
  </si>
  <si>
    <t>Расходы на реализацию полномочий в сфере жилищно-коммунального комплекса (бюджет автономного округа)</t>
  </si>
  <si>
    <t>0241000000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</si>
  <si>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</si>
  <si>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</si>
  <si>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</si>
  <si>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</si>
  <si>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</si>
  <si>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</si>
  <si>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</si>
  <si>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</si>
  <si>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07001S5060</t>
  </si>
  <si>
    <t>0700500000</t>
  </si>
  <si>
    <t>0700502400</t>
  </si>
  <si>
    <t>0700270220</t>
  </si>
  <si>
    <t>0700200000</t>
  </si>
  <si>
    <t>0800003520</t>
  </si>
  <si>
    <t>0800000000</t>
  </si>
  <si>
    <t>0240176500</t>
  </si>
  <si>
    <t>Приложение № 2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</si>
  <si>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</si>
  <si>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</si>
  <si>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</si>
  <si>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</si>
  <si>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>0520185150</t>
  </si>
  <si>
    <t>02401R5550</t>
  </si>
  <si>
    <t>02401L5550</t>
  </si>
  <si>
    <t>0510170050</t>
  </si>
  <si>
    <t>0700185150</t>
  </si>
  <si>
    <t>6000082591</t>
  </si>
  <si>
    <t>Иные межбюджетные трансферты (окружные средства)</t>
  </si>
  <si>
    <t>Иные межбюджетные трансферты  (федеральные средства)</t>
  </si>
  <si>
    <t>60000S2591</t>
  </si>
  <si>
    <t>0240195550</t>
  </si>
  <si>
    <t xml:space="preserve">Подготовка и проведение выборов </t>
  </si>
  <si>
    <t>0700179990</t>
  </si>
  <si>
    <t>070000000</t>
  </si>
  <si>
    <t>№     от 31.08.2018г.</t>
  </si>
  <si>
    <t>0520100540</t>
  </si>
  <si>
    <t>0700100540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</si>
  <si>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 (софинансирование)</t>
  </si>
  <si>
    <t>0700184290</t>
  </si>
  <si>
    <t>Начисления на выплату по оплате труда</t>
  </si>
  <si>
    <t>Заработная плата</t>
  </si>
  <si>
    <t>Субвенция на выполнение передаваемых полномочий по обращению с ТКО</t>
  </si>
  <si>
    <t>0900100590</t>
  </si>
  <si>
    <t>0900100000</t>
  </si>
  <si>
    <t>090000000</t>
  </si>
  <si>
    <t>Муниципальная программа "Обслуживание деятельности администрации сельского поселения Мулымья на 2018 год и 
плановый период  до 2022 года"</t>
  </si>
  <si>
    <t>№ 24 от 24.12.2018г.</t>
  </si>
  <si>
    <t>от 28.12.2018г.</t>
  </si>
  <si>
    <t xml:space="preserve">Приложение </t>
  </si>
  <si>
    <t>№ 2,4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</si>
</sst>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000"/>
    <numFmt numFmtId="167" formatCode="#,##0.0"/>
  </numFmts>
  <fonts count="19">
    <font>
      <sz val="10"/>
      <name val="Times New Roman CYR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Cambria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59">
    <xf numFmtId="0" fontId="0" fillId="0" borderId="0" xfId="0"/>
    <xf numFmtId="0" fontId="4" fillId="0" borderId="0" xfId="3" applyNumberFormat="1" applyFont="1" applyFill="1" applyAlignment="1" applyProtection="1">
      <protection hidden="1"/>
    </xf>
    <xf numFmtId="0" fontId="5" fillId="0" borderId="0" xfId="3" applyFont="1"/>
    <xf numFmtId="0" fontId="5" fillId="0" borderId="0" xfId="3" applyNumberFormat="1" applyFont="1" applyFill="1" applyAlignment="1" applyProtection="1">
      <protection hidden="1"/>
    </xf>
    <xf numFmtId="0" fontId="7" fillId="0" borderId="0" xfId="3" applyFont="1"/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0" fontId="5" fillId="0" borderId="0" xfId="3" applyFont="1" applyFill="1"/>
    <xf numFmtId="167" fontId="5" fillId="0" borderId="0" xfId="3" applyNumberFormat="1" applyFont="1"/>
    <xf numFmtId="164" fontId="8" fillId="0" borderId="1" xfId="3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2" applyFont="1" applyProtection="1">
      <protection hidden="1"/>
    </xf>
    <xf numFmtId="0" fontId="5" fillId="0" borderId="0" xfId="2" applyFont="1"/>
    <xf numFmtId="0" fontId="6" fillId="0" borderId="0" xfId="2" applyFont="1"/>
    <xf numFmtId="0" fontId="8" fillId="0" borderId="0" xfId="2" applyFont="1"/>
    <xf numFmtId="165" fontId="6" fillId="0" borderId="1" xfId="2" applyNumberFormat="1" applyFont="1" applyFill="1" applyBorder="1" applyAlignment="1" applyProtection="1">
      <alignment wrapText="1"/>
      <protection hidden="1"/>
    </xf>
    <xf numFmtId="0" fontId="4" fillId="0" borderId="0" xfId="2" applyFont="1"/>
    <xf numFmtId="165" fontId="7" fillId="0" borderId="1" xfId="2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0" fontId="5" fillId="0" borderId="0" xfId="2" applyFont="1" applyAlignment="1"/>
    <xf numFmtId="0" fontId="7" fillId="0" borderId="0" xfId="2" applyFont="1"/>
    <xf numFmtId="0" fontId="5" fillId="0" borderId="0" xfId="2" applyFont="1" applyAlignment="1" applyProtection="1">
      <protection hidden="1"/>
    </xf>
    <xf numFmtId="167" fontId="5" fillId="0" borderId="0" xfId="3" applyNumberFormat="1" applyFont="1" applyFill="1"/>
    <xf numFmtId="167" fontId="7" fillId="0" borderId="0" xfId="2" applyNumberFormat="1" applyFont="1"/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Continuous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  <protection hidden="1"/>
    </xf>
    <xf numFmtId="164" fontId="4" fillId="2" borderId="1" xfId="3" applyNumberFormat="1" applyFont="1" applyFill="1" applyBorder="1" applyAlignment="1" applyProtection="1">
      <alignment wrapText="1"/>
      <protection hidden="1"/>
    </xf>
    <xf numFmtId="49" fontId="5" fillId="0" borderId="1" xfId="3" applyNumberFormat="1" applyFont="1" applyFill="1" applyBorder="1" applyAlignment="1" applyProtection="1">
      <alignment horizontal="right" wrapText="1"/>
      <protection hidden="1"/>
    </xf>
    <xf numFmtId="165" fontId="5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14" xfId="3" applyNumberFormat="1" applyFont="1" applyFill="1" applyBorder="1" applyAlignment="1" applyProtection="1">
      <alignment horizontal="center" vertical="center"/>
      <protection hidden="1"/>
    </xf>
    <xf numFmtId="0" fontId="4" fillId="2" borderId="13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0" fontId="8" fillId="0" borderId="13" xfId="3" applyNumberFormat="1" applyFont="1" applyFill="1" applyBorder="1" applyAlignment="1" applyProtection="1">
      <alignment wrapText="1"/>
      <protection hidden="1"/>
    </xf>
    <xf numFmtId="167" fontId="5" fillId="0" borderId="0" xfId="2" applyNumberFormat="1" applyFont="1"/>
    <xf numFmtId="167" fontId="6" fillId="0" borderId="0" xfId="2" applyNumberFormat="1" applyFont="1" applyFill="1" applyBorder="1" applyAlignment="1" applyProtection="1">
      <protection hidden="1"/>
    </xf>
    <xf numFmtId="0" fontId="8" fillId="0" borderId="0" xfId="3" applyFont="1"/>
    <xf numFmtId="165" fontId="8" fillId="0" borderId="1" xfId="3" applyNumberFormat="1" applyFont="1" applyFill="1" applyBorder="1" applyAlignment="1" applyProtection="1">
      <alignment horizontal="right" wrapText="1"/>
      <protection hidden="1"/>
    </xf>
    <xf numFmtId="49" fontId="8" fillId="0" borderId="1" xfId="3" applyNumberFormat="1" applyFont="1" applyFill="1" applyBorder="1" applyAlignment="1" applyProtection="1">
      <alignment horizontal="right" wrapText="1"/>
      <protection hidden="1"/>
    </xf>
    <xf numFmtId="165" fontId="8" fillId="0" borderId="1" xfId="3" applyNumberFormat="1" applyFont="1" applyFill="1" applyBorder="1" applyAlignment="1" applyProtection="1">
      <protection hidden="1"/>
    </xf>
    <xf numFmtId="0" fontId="1" fillId="0" borderId="13" xfId="3" applyNumberFormat="1" applyFont="1" applyFill="1" applyBorder="1" applyAlignment="1" applyProtection="1">
      <alignment wrapText="1"/>
      <protection hidden="1"/>
    </xf>
    <xf numFmtId="164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protection hidden="1"/>
    </xf>
    <xf numFmtId="0" fontId="11" fillId="0" borderId="13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0" fillId="0" borderId="13" xfId="3" applyNumberFormat="1" applyFont="1" applyFill="1" applyBorder="1" applyAlignment="1" applyProtection="1">
      <alignment wrapText="1"/>
      <protection hidden="1"/>
    </xf>
    <xf numFmtId="49" fontId="11" fillId="0" borderId="1" xfId="3" applyNumberFormat="1" applyFont="1" applyFill="1" applyBorder="1" applyAlignment="1" applyProtection="1">
      <alignment horizontal="right" wrapText="1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164" fontId="8" fillId="0" borderId="0" xfId="3" applyNumberFormat="1" applyFont="1" applyFill="1" applyBorder="1" applyAlignment="1" applyProtection="1">
      <alignment wrapText="1"/>
      <protection hidden="1"/>
    </xf>
    <xf numFmtId="165" fontId="8" fillId="0" borderId="0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 applyBorder="1"/>
    <xf numFmtId="0" fontId="1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0" fontId="5" fillId="0" borderId="0" xfId="3" applyFont="1" applyFill="1" applyBorder="1"/>
    <xf numFmtId="0" fontId="5" fillId="0" borderId="1" xfId="3" applyNumberFormat="1" applyFont="1" applyFill="1" applyBorder="1" applyAlignment="1" applyProtection="1">
      <alignment wrapText="1"/>
      <protection hidden="1"/>
    </xf>
    <xf numFmtId="0" fontId="6" fillId="3" borderId="15" xfId="2" applyNumberFormat="1" applyFont="1" applyFill="1" applyBorder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wrapText="1"/>
      <protection hidden="1"/>
    </xf>
    <xf numFmtId="0" fontId="9" fillId="0" borderId="1" xfId="2" applyNumberFormat="1" applyFont="1" applyFill="1" applyBorder="1" applyAlignment="1" applyProtection="1">
      <alignment wrapText="1"/>
      <protection hidden="1"/>
    </xf>
    <xf numFmtId="0" fontId="10" fillId="0" borderId="1" xfId="2" applyNumberFormat="1" applyFont="1" applyFill="1" applyBorder="1" applyAlignment="1" applyProtection="1">
      <alignment wrapText="1"/>
      <protection hidden="1"/>
    </xf>
    <xf numFmtId="49" fontId="5" fillId="0" borderId="0" xfId="3" applyNumberFormat="1" applyFont="1" applyAlignment="1">
      <alignment wrapText="1"/>
    </xf>
    <xf numFmtId="0" fontId="0" fillId="0" borderId="0" xfId="3" applyNumberFormat="1" applyFont="1" applyFill="1" applyAlignment="1" applyProtection="1">
      <protection hidden="1"/>
    </xf>
    <xf numFmtId="0" fontId="15" fillId="4" borderId="1" xfId="0" applyNumberFormat="1" applyFont="1" applyFill="1" applyBorder="1" applyAlignment="1" applyProtection="1">
      <alignment wrapText="1"/>
    </xf>
    <xf numFmtId="165" fontId="11" fillId="0" borderId="1" xfId="3" applyNumberFormat="1" applyFont="1" applyFill="1" applyBorder="1" applyAlignment="1" applyProtection="1">
      <alignment horizontal="right" wrapText="1"/>
      <protection hidden="1"/>
    </xf>
    <xf numFmtId="0" fontId="11" fillId="0" borderId="0" xfId="3" applyFont="1"/>
    <xf numFmtId="49" fontId="0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0" xfId="3" applyFont="1" applyAlignment="1">
      <alignment horizontal="center"/>
    </xf>
    <xf numFmtId="164" fontId="4" fillId="2" borderId="1" xfId="3" applyNumberFormat="1" applyFont="1" applyFill="1" applyBorder="1" applyAlignment="1" applyProtection="1">
      <alignment horizontal="center" wrapText="1"/>
      <protection hidden="1"/>
    </xf>
    <xf numFmtId="49" fontId="8" fillId="0" borderId="1" xfId="3" applyNumberFormat="1" applyFont="1" applyFill="1" applyBorder="1" applyAlignment="1" applyProtection="1">
      <alignment horizontal="center" wrapText="1"/>
      <protection hidden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11" fillId="0" borderId="1" xfId="3" applyNumberFormat="1" applyFont="1" applyFill="1" applyBorder="1" applyAlignment="1" applyProtection="1">
      <alignment horizontal="center" wrapText="1"/>
      <protection hidden="1"/>
    </xf>
    <xf numFmtId="49" fontId="0" fillId="0" borderId="1" xfId="3" applyNumberFormat="1" applyFont="1" applyFill="1" applyBorder="1" applyAlignment="1" applyProtection="1">
      <alignment horizontal="center"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" xfId="3" applyNumberFormat="1" applyFont="1" applyFill="1" applyBorder="1" applyAlignment="1" applyProtection="1">
      <alignment horizontal="center"/>
      <protection hidden="1"/>
    </xf>
    <xf numFmtId="0" fontId="5" fillId="0" borderId="0" xfId="2" applyFont="1" applyFill="1"/>
    <xf numFmtId="0" fontId="8" fillId="0" borderId="0" xfId="2" applyFont="1" applyFill="1"/>
    <xf numFmtId="0" fontId="4" fillId="0" borderId="0" xfId="2" applyFont="1" applyFill="1"/>
    <xf numFmtId="0" fontId="5" fillId="0" borderId="0" xfId="2" applyFont="1" applyFill="1" applyBorder="1"/>
    <xf numFmtId="0" fontId="5" fillId="0" borderId="0" xfId="2" applyNumberFormat="1" applyFont="1" applyAlignment="1" applyProtection="1">
      <alignment horizontal="left" wrapText="1"/>
      <protection hidden="1"/>
    </xf>
    <xf numFmtId="0" fontId="5" fillId="0" borderId="0" xfId="3" applyNumberFormat="1" applyFont="1" applyFill="1" applyAlignment="1">
      <alignment wrapText="1"/>
    </xf>
    <xf numFmtId="0" fontId="5" fillId="0" borderId="0" xfId="3" applyNumberFormat="1" applyFont="1" applyAlignment="1">
      <alignment wrapText="1"/>
    </xf>
    <xf numFmtId="165" fontId="1" fillId="0" borderId="1" xfId="3" applyNumberFormat="1" applyFont="1" applyFill="1" applyBorder="1" applyAlignment="1" applyProtection="1">
      <alignment horizontal="right" wrapText="1"/>
      <protection hidden="1"/>
    </xf>
    <xf numFmtId="49" fontId="1" fillId="0" borderId="1" xfId="3" applyNumberFormat="1" applyFont="1" applyFill="1" applyBorder="1" applyAlignment="1" applyProtection="1">
      <alignment horizontal="right" wrapText="1"/>
      <protection hidden="1"/>
    </xf>
    <xf numFmtId="4" fontId="8" fillId="2" borderId="1" xfId="3" applyNumberFormat="1" applyFont="1" applyFill="1" applyBorder="1" applyAlignment="1" applyProtection="1">
      <protection hidden="1"/>
    </xf>
    <xf numFmtId="4" fontId="8" fillId="2" borderId="14" xfId="3" applyNumberFormat="1" applyFont="1" applyFill="1" applyBorder="1" applyAlignment="1" applyProtection="1">
      <protection hidden="1"/>
    </xf>
    <xf numFmtId="4" fontId="8" fillId="0" borderId="1" xfId="3" applyNumberFormat="1" applyFont="1" applyFill="1" applyBorder="1" applyAlignment="1" applyProtection="1">
      <protection hidden="1"/>
    </xf>
    <xf numFmtId="4" fontId="8" fillId="0" borderId="14" xfId="3" applyNumberFormat="1" applyFont="1" applyFill="1" applyBorder="1" applyAlignment="1" applyProtection="1">
      <protection hidden="1"/>
    </xf>
    <xf numFmtId="4" fontId="12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/>
    <xf numFmtId="4" fontId="5" fillId="0" borderId="1" xfId="3" applyNumberFormat="1" applyFont="1" applyFill="1" applyBorder="1" applyAlignment="1" applyProtection="1">
      <protection hidden="1"/>
    </xf>
    <xf numFmtId="4" fontId="13" fillId="0" borderId="14" xfId="3" applyNumberFormat="1" applyFont="1" applyFill="1" applyBorder="1" applyAlignment="1"/>
    <xf numFmtId="4" fontId="8" fillId="0" borderId="14" xfId="3" applyNumberFormat="1" applyFont="1" applyFill="1" applyBorder="1" applyAlignment="1"/>
    <xf numFmtId="4" fontId="11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 applyProtection="1">
      <protection hidden="1"/>
    </xf>
    <xf numFmtId="4" fontId="16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 applyProtection="1">
      <protection hidden="1"/>
    </xf>
    <xf numFmtId="4" fontId="1" fillId="0" borderId="14" xfId="3" applyNumberFormat="1" applyFont="1" applyFill="1" applyBorder="1" applyAlignment="1" applyProtection="1">
      <protection hidden="1"/>
    </xf>
    <xf numFmtId="4" fontId="1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/>
    <xf numFmtId="4" fontId="5" fillId="0" borderId="1" xfId="3" applyNumberFormat="1" applyFont="1" applyFill="1" applyBorder="1" applyAlignment="1"/>
    <xf numFmtId="4" fontId="8" fillId="0" borderId="0" xfId="3" applyNumberFormat="1" applyFont="1" applyFill="1" applyBorder="1" applyAlignment="1"/>
    <xf numFmtId="4" fontId="5" fillId="0" borderId="0" xfId="3" applyNumberFormat="1" applyFont="1" applyFill="1" applyBorder="1" applyAlignment="1"/>
    <xf numFmtId="4" fontId="5" fillId="0" borderId="0" xfId="3" applyNumberFormat="1" applyFont="1" applyFill="1"/>
    <xf numFmtId="4" fontId="5" fillId="0" borderId="0" xfId="3" applyNumberFormat="1" applyFont="1"/>
    <xf numFmtId="4" fontId="6" fillId="0" borderId="1" xfId="2" applyNumberFormat="1" applyFont="1" applyFill="1" applyBorder="1" applyAlignment="1" applyProtection="1">
      <protection hidden="1"/>
    </xf>
    <xf numFmtId="4" fontId="7" fillId="0" borderId="1" xfId="2" applyNumberFormat="1" applyFont="1" applyFill="1" applyBorder="1"/>
    <xf numFmtId="4" fontId="6" fillId="0" borderId="1" xfId="2" applyNumberFormat="1" applyFont="1" applyFill="1" applyBorder="1"/>
    <xf numFmtId="4" fontId="9" fillId="0" borderId="1" xfId="2" applyNumberFormat="1" applyFont="1" applyFill="1" applyBorder="1"/>
    <xf numFmtId="4" fontId="10" fillId="0" borderId="1" xfId="2" applyNumberFormat="1" applyFont="1" applyFill="1" applyBorder="1"/>
    <xf numFmtId="4" fontId="10" fillId="0" borderId="1" xfId="2" applyNumberFormat="1" applyFont="1" applyFill="1" applyBorder="1" applyAlignment="1" applyProtection="1">
      <protection hidden="1"/>
    </xf>
    <xf numFmtId="4" fontId="5" fillId="0" borderId="1" xfId="2" applyNumberFormat="1" applyFont="1" applyFill="1" applyBorder="1"/>
    <xf numFmtId="4" fontId="9" fillId="0" borderId="1" xfId="2" applyNumberFormat="1" applyFont="1" applyBorder="1"/>
    <xf numFmtId="4" fontId="5" fillId="0" borderId="1" xfId="2" applyNumberFormat="1" applyFont="1" applyBorder="1"/>
    <xf numFmtId="4" fontId="10" fillId="0" borderId="1" xfId="2" applyNumberFormat="1" applyFont="1" applyBorder="1"/>
    <xf numFmtId="4" fontId="7" fillId="0" borderId="1" xfId="2" applyNumberFormat="1" applyFont="1" applyBorder="1"/>
    <xf numFmtId="4" fontId="6" fillId="3" borderId="16" xfId="2" applyNumberFormat="1" applyFont="1" applyFill="1" applyBorder="1" applyAlignment="1" applyProtection="1">
      <alignment vertical="center"/>
      <protection hidden="1"/>
    </xf>
    <xf numFmtId="0" fontId="17" fillId="0" borderId="19" xfId="0" applyFont="1" applyBorder="1" applyAlignment="1">
      <alignment horizontal="left" wrapText="1"/>
    </xf>
    <xf numFmtId="164" fontId="4" fillId="0" borderId="1" xfId="3" applyNumberFormat="1" applyFont="1" applyFill="1" applyBorder="1" applyAlignment="1" applyProtection="1">
      <alignment wrapText="1"/>
      <protection hidden="1"/>
    </xf>
    <xf numFmtId="165" fontId="4" fillId="0" borderId="1" xfId="3" applyNumberFormat="1" applyFont="1" applyFill="1" applyBorder="1" applyAlignment="1" applyProtection="1">
      <alignment wrapText="1"/>
      <protection hidden="1"/>
    </xf>
    <xf numFmtId="49" fontId="4" fillId="0" borderId="1" xfId="3" applyNumberFormat="1" applyFont="1" applyFill="1" applyBorder="1" applyAlignment="1" applyProtection="1">
      <alignment horizontal="center" wrapText="1"/>
      <protection hidden="1"/>
    </xf>
    <xf numFmtId="4" fontId="4" fillId="0" borderId="1" xfId="3" applyNumberFormat="1" applyFont="1" applyFill="1" applyBorder="1" applyAlignment="1" applyProtection="1">
      <protection hidden="1"/>
    </xf>
    <xf numFmtId="4" fontId="4" fillId="0" borderId="14" xfId="3" applyNumberFormat="1" applyFont="1" applyFill="1" applyBorder="1" applyAlignment="1"/>
    <xf numFmtId="49" fontId="15" fillId="0" borderId="1" xfId="0" applyNumberFormat="1" applyFont="1" applyBorder="1" applyAlignment="1">
      <alignment wrapText="1"/>
    </xf>
    <xf numFmtId="4" fontId="5" fillId="0" borderId="0" xfId="2" applyNumberFormat="1" applyFont="1"/>
    <xf numFmtId="4" fontId="8" fillId="0" borderId="0" xfId="3" applyNumberFormat="1" applyFont="1"/>
    <xf numFmtId="4" fontId="11" fillId="0" borderId="0" xfId="3" applyNumberFormat="1" applyFont="1"/>
    <xf numFmtId="0" fontId="18" fillId="0" borderId="1" xfId="3" applyNumberFormat="1" applyFont="1" applyFill="1" applyBorder="1" applyAlignment="1" applyProtection="1">
      <alignment wrapText="1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alignment wrapText="1"/>
      <protection hidden="1"/>
    </xf>
    <xf numFmtId="49" fontId="15" fillId="0" borderId="1" xfId="3" applyNumberFormat="1" applyFont="1" applyFill="1" applyBorder="1" applyAlignment="1" applyProtection="1">
      <alignment horizontal="center"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4" fontId="15" fillId="0" borderId="1" xfId="3" applyNumberFormat="1" applyFont="1" applyFill="1" applyBorder="1" applyAlignment="1" applyProtection="1">
      <protection hidden="1"/>
    </xf>
    <xf numFmtId="0" fontId="9" fillId="0" borderId="13" xfId="3" applyNumberFormat="1" applyFont="1" applyFill="1" applyBorder="1" applyAlignment="1" applyProtection="1">
      <alignment wrapText="1"/>
      <protection hidden="1"/>
    </xf>
    <xf numFmtId="0" fontId="6" fillId="3" borderId="17" xfId="2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6" fillId="0" borderId="18" xfId="2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wrapText="1"/>
    </xf>
    <xf numFmtId="0" fontId="6" fillId="0" borderId="0" xfId="3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_Tmp2" xfId="2"/>
    <cellStyle name="Обычный_Tmp7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6.xml"/><Relationship Id="rId34" Type="http://schemas.openxmlformats.org/officeDocument/2006/relationships/revisionLog" Target="revisionLog2.xml"/><Relationship Id="rId42" Type="http://schemas.openxmlformats.org/officeDocument/2006/relationships/revisionLog" Target="revisionLog7.xml"/><Relationship Id="rId47" Type="http://schemas.openxmlformats.org/officeDocument/2006/relationships/revisionLog" Target="revisionLog14.xml"/><Relationship Id="rId50" Type="http://schemas.openxmlformats.org/officeDocument/2006/relationships/revisionLog" Target="revisionLog17.xml"/><Relationship Id="rId55" Type="http://schemas.openxmlformats.org/officeDocument/2006/relationships/revisionLog" Target="revisionLog111.xml"/><Relationship Id="rId63" Type="http://schemas.openxmlformats.org/officeDocument/2006/relationships/revisionLog" Target="revisionLog121.xml"/><Relationship Id="rId68" Type="http://schemas.openxmlformats.org/officeDocument/2006/relationships/revisionLog" Target="revisionLog24.xml"/><Relationship Id="rId76" Type="http://schemas.openxmlformats.org/officeDocument/2006/relationships/revisionLog" Target="revisionLog13.xml"/><Relationship Id="rId84" Type="http://schemas.openxmlformats.org/officeDocument/2006/relationships/revisionLog" Target="revisionLog11.xml"/><Relationship Id="rId89" Type="http://schemas.openxmlformats.org/officeDocument/2006/relationships/revisionLog" Target="revisionLog12.xml"/><Relationship Id="rId97" Type="http://schemas.openxmlformats.org/officeDocument/2006/relationships/revisionLog" Target="revisionLog15.xml"/><Relationship Id="rId104" Type="http://schemas.openxmlformats.org/officeDocument/2006/relationships/revisionLog" Target="revisionLog16.xml"/><Relationship Id="rId71" Type="http://schemas.openxmlformats.org/officeDocument/2006/relationships/revisionLog" Target="revisionLog151.xml"/><Relationship Id="rId92" Type="http://schemas.openxmlformats.org/officeDocument/2006/relationships/revisionLog" Target="revisionLog161.xml"/><Relationship Id="rId37" Type="http://schemas.openxmlformats.org/officeDocument/2006/relationships/revisionLog" Target="revisionLog4.xml"/><Relationship Id="rId40" Type="http://schemas.openxmlformats.org/officeDocument/2006/relationships/revisionLog" Target="revisionLog121111.xml"/><Relationship Id="rId45" Type="http://schemas.openxmlformats.org/officeDocument/2006/relationships/revisionLog" Target="revisionLog10.xml"/><Relationship Id="rId53" Type="http://schemas.openxmlformats.org/officeDocument/2006/relationships/revisionLog" Target="revisionLog15111.xml"/><Relationship Id="rId58" Type="http://schemas.openxmlformats.org/officeDocument/2006/relationships/revisionLog" Target="revisionLog1611.xml"/><Relationship Id="rId66" Type="http://schemas.openxmlformats.org/officeDocument/2006/relationships/revisionLog" Target="revisionLog22.xml"/><Relationship Id="rId74" Type="http://schemas.openxmlformats.org/officeDocument/2006/relationships/revisionLog" Target="revisionLog1101.xml"/><Relationship Id="rId79" Type="http://schemas.openxmlformats.org/officeDocument/2006/relationships/revisionLog" Target="revisionLog1121.xml"/><Relationship Id="rId87" Type="http://schemas.openxmlformats.org/officeDocument/2006/relationships/revisionLog" Target="revisionLog1221.xml"/><Relationship Id="rId102" Type="http://schemas.openxmlformats.org/officeDocument/2006/relationships/revisionLog" Target="revisionLog18.xml"/><Relationship Id="rId36" Type="http://schemas.openxmlformats.org/officeDocument/2006/relationships/revisionLog" Target="revisionLog1211111.xml"/><Relationship Id="rId49" Type="http://schemas.openxmlformats.org/officeDocument/2006/relationships/revisionLog" Target="revisionLog16111.xml"/><Relationship Id="rId57" Type="http://schemas.openxmlformats.org/officeDocument/2006/relationships/revisionLog" Target="revisionLog191.xml"/><Relationship Id="rId61" Type="http://schemas.openxmlformats.org/officeDocument/2006/relationships/revisionLog" Target="revisionLog11011.xml"/><Relationship Id="rId82" Type="http://schemas.openxmlformats.org/officeDocument/2006/relationships/revisionLog" Target="revisionLog1131.xml"/><Relationship Id="rId90" Type="http://schemas.openxmlformats.org/officeDocument/2006/relationships/revisionLog" Target="revisionLog181.xml"/><Relationship Id="rId95" Type="http://schemas.openxmlformats.org/officeDocument/2006/relationships/revisionLog" Target="revisionLog114.xml"/><Relationship Id="rId44" Type="http://schemas.openxmlformats.org/officeDocument/2006/relationships/revisionLog" Target="revisionLog9.xml"/><Relationship Id="rId52" Type="http://schemas.openxmlformats.org/officeDocument/2006/relationships/revisionLog" Target="revisionLog1911.xml"/><Relationship Id="rId60" Type="http://schemas.openxmlformats.org/officeDocument/2006/relationships/revisionLog" Target="revisionLog110111.xml"/><Relationship Id="rId65" Type="http://schemas.openxmlformats.org/officeDocument/2006/relationships/revisionLog" Target="revisionLog21.xml"/><Relationship Id="rId73" Type="http://schemas.openxmlformats.org/officeDocument/2006/relationships/revisionLog" Target="revisionLog11211.xml"/><Relationship Id="rId78" Type="http://schemas.openxmlformats.org/officeDocument/2006/relationships/revisionLog" Target="revisionLog11311.xml"/><Relationship Id="rId81" Type="http://schemas.openxmlformats.org/officeDocument/2006/relationships/revisionLog" Target="revisionLog1141.xml"/><Relationship Id="rId86" Type="http://schemas.openxmlformats.org/officeDocument/2006/relationships/revisionLog" Target="revisionLog12211.xml"/><Relationship Id="rId94" Type="http://schemas.openxmlformats.org/officeDocument/2006/relationships/revisionLog" Target="revisionLog115.xml"/><Relationship Id="rId99" Type="http://schemas.openxmlformats.org/officeDocument/2006/relationships/revisionLog" Target="revisionLog182.xml"/><Relationship Id="rId101" Type="http://schemas.openxmlformats.org/officeDocument/2006/relationships/revisionLog" Target="revisionLog19.xml"/><Relationship Id="rId35" Type="http://schemas.openxmlformats.org/officeDocument/2006/relationships/revisionLog" Target="revisionLog3.xml"/><Relationship Id="rId43" Type="http://schemas.openxmlformats.org/officeDocument/2006/relationships/revisionLog" Target="revisionLog8.xml"/><Relationship Id="rId48" Type="http://schemas.openxmlformats.org/officeDocument/2006/relationships/revisionLog" Target="revisionLog151111.xml"/><Relationship Id="rId56" Type="http://schemas.openxmlformats.org/officeDocument/2006/relationships/revisionLog" Target="revisionLog1101111.xml"/><Relationship Id="rId64" Type="http://schemas.openxmlformats.org/officeDocument/2006/relationships/revisionLog" Target="revisionLog20.xml"/><Relationship Id="rId69" Type="http://schemas.openxmlformats.org/officeDocument/2006/relationships/revisionLog" Target="revisionLog112111.xml"/><Relationship Id="rId77" Type="http://schemas.openxmlformats.org/officeDocument/2006/relationships/revisionLog" Target="revisionLog113111.xml"/><Relationship Id="rId100" Type="http://schemas.openxmlformats.org/officeDocument/2006/relationships/revisionLog" Target="revisionLog192.xml"/><Relationship Id="rId105" Type="http://schemas.openxmlformats.org/officeDocument/2006/relationships/revisionLog" Target="revisionLog1.xml"/><Relationship Id="rId51" Type="http://schemas.openxmlformats.org/officeDocument/2006/relationships/revisionLog" Target="revisionLog1811.xml"/><Relationship Id="rId72" Type="http://schemas.openxmlformats.org/officeDocument/2006/relationships/revisionLog" Target="revisionLog11411.xml"/><Relationship Id="rId80" Type="http://schemas.openxmlformats.org/officeDocument/2006/relationships/revisionLog" Target="revisionLog122111.xml"/><Relationship Id="rId85" Type="http://schemas.openxmlformats.org/officeDocument/2006/relationships/revisionLog" Target="revisionLog1151.xml"/><Relationship Id="rId93" Type="http://schemas.openxmlformats.org/officeDocument/2006/relationships/revisionLog" Target="revisionLog116.xml"/><Relationship Id="rId98" Type="http://schemas.openxmlformats.org/officeDocument/2006/relationships/revisionLog" Target="revisionLog117.xml"/><Relationship Id="rId33" Type="http://schemas.openxmlformats.org/officeDocument/2006/relationships/revisionLog" Target="revisionLog1111.xml"/><Relationship Id="rId38" Type="http://schemas.openxmlformats.org/officeDocument/2006/relationships/revisionLog" Target="revisionLog5.xml"/><Relationship Id="rId46" Type="http://schemas.openxmlformats.org/officeDocument/2006/relationships/revisionLog" Target="revisionLog131.xml"/><Relationship Id="rId59" Type="http://schemas.openxmlformats.org/officeDocument/2006/relationships/revisionLog" Target="revisionLog1211.xml"/><Relationship Id="rId67" Type="http://schemas.openxmlformats.org/officeDocument/2006/relationships/revisionLog" Target="revisionLog23.xml"/><Relationship Id="rId103" Type="http://schemas.openxmlformats.org/officeDocument/2006/relationships/revisionLog" Target="revisionLog110.xml"/><Relationship Id="rId41" Type="http://schemas.openxmlformats.org/officeDocument/2006/relationships/revisionLog" Target="revisionLog12111.xml"/><Relationship Id="rId54" Type="http://schemas.openxmlformats.org/officeDocument/2006/relationships/revisionLog" Target="revisionLog1511.xml"/><Relationship Id="rId62" Type="http://schemas.openxmlformats.org/officeDocument/2006/relationships/revisionLog" Target="revisionLog1612.xml"/><Relationship Id="rId70" Type="http://schemas.openxmlformats.org/officeDocument/2006/relationships/revisionLog" Target="revisionLog1921.xml"/><Relationship Id="rId75" Type="http://schemas.openxmlformats.org/officeDocument/2006/relationships/revisionLog" Target="revisionLog1102.xml"/><Relationship Id="rId83" Type="http://schemas.openxmlformats.org/officeDocument/2006/relationships/revisionLog" Target="revisionLog112.xml"/><Relationship Id="rId88" Type="http://schemas.openxmlformats.org/officeDocument/2006/relationships/revisionLog" Target="revisionLog122.xml"/><Relationship Id="rId91" Type="http://schemas.openxmlformats.org/officeDocument/2006/relationships/revisionLog" Target="revisionLog1821.xml"/><Relationship Id="rId96" Type="http://schemas.openxmlformats.org/officeDocument/2006/relationships/revisionLog" Target="revisionLog113.xml"/></Relationships>
</file>

<file path=xl/revisions/revisionHeaders.xml><?xml version="1.0" encoding="utf-8"?>
<headers xmlns="http://schemas.openxmlformats.org/spreadsheetml/2006/main" xmlns:r="http://schemas.openxmlformats.org/officeDocument/2006/relationships" guid="{8A018EED-BF36-4D7A-89C3-B7D7F31457BC}" diskRevisions="1" revisionId="8310" version="77">
  <header guid="{4192DA8B-0FBF-4CCF-9C11-1B80048E5F6D}" dateTime="2018-01-09T15:00:30" maxSheetId="4" userName="127" r:id="rId33" minRId="7436" maxRId="7439">
    <sheetIdMap count="3">
      <sheetId val="2"/>
      <sheetId val="1"/>
      <sheetId val="3"/>
    </sheetIdMap>
  </header>
  <header guid="{66178C02-A60E-4512-9F5B-3D517675292B}" dateTime="2018-01-27T12:32:53" maxSheetId="4" userName="128" r:id="rId34" minRId="7443" maxRId="7461">
    <sheetIdMap count="3">
      <sheetId val="2"/>
      <sheetId val="1"/>
      <sheetId val="3"/>
    </sheetIdMap>
  </header>
  <header guid="{4B6138B7-C5E8-416A-B238-A8BDD25AE4AD}" dateTime="2018-01-27T12:39:28" maxSheetId="4" userName="128" r:id="rId35" minRId="7463">
    <sheetIdMap count="3">
      <sheetId val="2"/>
      <sheetId val="1"/>
      <sheetId val="3"/>
    </sheetIdMap>
  </header>
  <header guid="{C2AC71F4-D828-4568-98F2-AFEB99128E67}" dateTime="2018-01-29T15:02:38" maxSheetId="4" userName="Юрист" r:id="rId36" minRId="7464" maxRId="7465">
    <sheetIdMap count="3">
      <sheetId val="2"/>
      <sheetId val="1"/>
      <sheetId val="3"/>
    </sheetIdMap>
  </header>
  <header guid="{7FC63358-28DA-4131-85AE-528226E6285A}" dateTime="2018-02-09T17:34:39" maxSheetId="4" userName="128" r:id="rId37" minRId="7467" maxRId="7474">
    <sheetIdMap count="3">
      <sheetId val="2"/>
      <sheetId val="1"/>
      <sheetId val="3"/>
    </sheetIdMap>
  </header>
  <header guid="{C311CA7A-573C-4D5A-B868-E3A1FB2C1B83}" dateTime="2018-02-26T15:32:26" maxSheetId="4" userName="128" r:id="rId38" minRId="7475" maxRId="7528">
    <sheetIdMap count="3">
      <sheetId val="2"/>
      <sheetId val="1"/>
      <sheetId val="3"/>
    </sheetIdMap>
  </header>
  <header guid="{66CE4949-DA2C-4887-A79A-B2DE1D5F6367}" dateTime="2018-02-26T16:19:03" maxSheetId="4" userName="128" r:id="rId39">
    <sheetIdMap count="3">
      <sheetId val="2"/>
      <sheetId val="1"/>
      <sheetId val="3"/>
    </sheetIdMap>
  </header>
  <header guid="{9A02401A-5CAF-42D3-8307-10CBC9930D76}" dateTime="2018-02-28T10:37:01" maxSheetId="4" userName="21" r:id="rId40" minRId="7529" maxRId="7530">
    <sheetIdMap count="3">
      <sheetId val="2"/>
      <sheetId val="1"/>
      <sheetId val="3"/>
    </sheetIdMap>
  </header>
  <header guid="{971670A4-5C97-4B85-B4BB-B064B896D6EB}" dateTime="2018-03-01T14:19:36" maxSheetId="4" userName="Юрист" r:id="rId41" minRId="7532" maxRId="7533">
    <sheetIdMap count="3">
      <sheetId val="2"/>
      <sheetId val="1"/>
      <sheetId val="3"/>
    </sheetIdMap>
  </header>
  <header guid="{82F3435C-475B-4C6D-8810-69573A079C5A}" dateTime="2018-03-29T14:35:50" maxSheetId="4" userName="128" r:id="rId42" minRId="7535" maxRId="7539">
    <sheetIdMap count="3">
      <sheetId val="2"/>
      <sheetId val="1"/>
      <sheetId val="3"/>
    </sheetIdMap>
  </header>
  <header guid="{8D88F537-1074-4B29-BFAE-66211BF0BCD9}" dateTime="2018-03-29T14:47:32" maxSheetId="4" userName="128" r:id="rId43" minRId="7540" maxRId="7544">
    <sheetIdMap count="3">
      <sheetId val="2"/>
      <sheetId val="1"/>
      <sheetId val="3"/>
    </sheetIdMap>
  </header>
  <header guid="{E3CDDBAC-A2F5-4346-AA41-B00F060CAEC1}" dateTime="2018-03-30T09:55:27" maxSheetId="4" userName="ZamGlav" r:id="rId44" minRId="7545">
    <sheetIdMap count="3">
      <sheetId val="2"/>
      <sheetId val="1"/>
      <sheetId val="3"/>
    </sheetIdMap>
  </header>
  <header guid="{5C55BCD3-E019-4D8A-890C-680E04636E9D}" dateTime="2018-03-30T09:59:44" maxSheetId="4" userName="ZamGlav" r:id="rId45" minRId="7547">
    <sheetIdMap count="3">
      <sheetId val="2"/>
      <sheetId val="1"/>
      <sheetId val="3"/>
    </sheetIdMap>
  </header>
  <header guid="{BA87BB85-9946-4CFD-93EB-7F096E8DC89C}" dateTime="2018-06-22T17:03:29" maxSheetId="4" userName="128" r:id="rId46" minRId="7548" maxRId="7721">
    <sheetIdMap count="3">
      <sheetId val="2"/>
      <sheetId val="1"/>
      <sheetId val="3"/>
    </sheetIdMap>
  </header>
  <header guid="{E4F1BDA0-EA5B-40FA-829A-DA52F11F25E9}" dateTime="2018-06-27T09:54:44" maxSheetId="4" userName="128" r:id="rId47" minRId="7722" maxRId="7728">
    <sheetIdMap count="3">
      <sheetId val="2"/>
      <sheetId val="1"/>
      <sheetId val="3"/>
    </sheetIdMap>
  </header>
  <header guid="{3C0B0999-F626-4C4C-9BF7-761E72078F44}" dateTime="2018-06-27T16:24:00" maxSheetId="4" userName="128" r:id="rId48" minRId="7729">
    <sheetIdMap count="3">
      <sheetId val="2"/>
      <sheetId val="1"/>
      <sheetId val="3"/>
    </sheetIdMap>
  </header>
  <header guid="{DFABA538-8176-43BA-B8D7-FE9A157C53F1}" dateTime="2018-07-06T10:04:05" maxSheetId="4" userName="128" r:id="rId49" minRId="7730" maxRId="7731">
    <sheetIdMap count="3">
      <sheetId val="2"/>
      <sheetId val="1"/>
      <sheetId val="3"/>
    </sheetIdMap>
  </header>
  <header guid="{7413ED4B-4B37-4FAB-B5FD-E1BB9275F6D7}" dateTime="2018-07-10T08:54:58" maxSheetId="4" userName="128" r:id="rId50" minRId="7732" maxRId="7769">
    <sheetIdMap count="3">
      <sheetId val="2"/>
      <sheetId val="1"/>
      <sheetId val="3"/>
    </sheetIdMap>
  </header>
  <header guid="{3DEBAF7B-E350-42BC-8FA7-494923F1D9D2}" dateTime="2018-07-10T09:03:29" maxSheetId="4" userName="128" r:id="rId51" minRId="7770" maxRId="7775">
    <sheetIdMap count="3">
      <sheetId val="2"/>
      <sheetId val="1"/>
      <sheetId val="3"/>
    </sheetIdMap>
  </header>
  <header guid="{1937FFAE-89C6-4881-A8E1-D2B0FE43BD31}" dateTime="2018-07-10T09:11:14" maxSheetId="4" userName="128" r:id="rId52" minRId="7776" maxRId="7778">
    <sheetIdMap count="3">
      <sheetId val="2"/>
      <sheetId val="1"/>
      <sheetId val="3"/>
    </sheetIdMap>
  </header>
  <header guid="{70F2AC76-86D3-462B-9F01-6C82FFA6C975}" dateTime="2018-07-26T11:04:52" maxSheetId="4" userName="127" r:id="rId53" minRId="7779" maxRId="7780">
    <sheetIdMap count="3">
      <sheetId val="2"/>
      <sheetId val="1"/>
      <sheetId val="3"/>
    </sheetIdMap>
  </header>
  <header guid="{29387DB5-CC71-469C-9BC0-156067E18E74}" dateTime="2018-07-26T11:11:13" maxSheetId="4" userName="127" r:id="rId54" minRId="7784" maxRId="7803">
    <sheetIdMap count="3">
      <sheetId val="2"/>
      <sheetId val="1"/>
      <sheetId val="3"/>
    </sheetIdMap>
  </header>
  <header guid="{D6AAC8AF-7D5D-43CE-9EBD-A3C86BE00598}" dateTime="2018-07-26T11:15:47" maxSheetId="4" userName="127" r:id="rId55">
    <sheetIdMap count="3">
      <sheetId val="2"/>
      <sheetId val="1"/>
      <sheetId val="3"/>
    </sheetIdMap>
  </header>
  <header guid="{F74D13ED-B0A3-46E4-B911-2ABBC9A7B7AC}" dateTime="2018-07-26T11:25:56" maxSheetId="4" userName="127" r:id="rId56" minRId="7810" maxRId="7815">
    <sheetIdMap count="3">
      <sheetId val="2"/>
      <sheetId val="1"/>
      <sheetId val="3"/>
    </sheetIdMap>
  </header>
  <header guid="{1E0F7C1E-892F-47EF-8F67-0AB4D99A378B}" dateTime="2018-07-26T11:47:13" maxSheetId="4" userName="127" r:id="rId57" minRId="7819" maxRId="7821">
    <sheetIdMap count="3">
      <sheetId val="2"/>
      <sheetId val="1"/>
      <sheetId val="3"/>
    </sheetIdMap>
  </header>
  <header guid="{00D13E89-C462-4181-87D9-4224AEFDFAF4}" dateTime="2018-07-26T14:17:21" maxSheetId="4" userName="127" r:id="rId58" minRId="7825" maxRId="7848">
    <sheetIdMap count="3">
      <sheetId val="2"/>
      <sheetId val="1"/>
      <sheetId val="3"/>
    </sheetIdMap>
  </header>
  <header guid="{2CFF61D2-EC6F-4B01-8B21-8205AA0060B7}" dateTime="2018-07-26T14:23:29" maxSheetId="4" userName="127" r:id="rId59" minRId="7852" maxRId="7859">
    <sheetIdMap count="3">
      <sheetId val="2"/>
      <sheetId val="1"/>
      <sheetId val="3"/>
    </sheetIdMap>
  </header>
  <header guid="{0637DEEF-61C5-46EA-86BB-4E2040319396}" dateTime="2018-07-26T14:34:56" maxSheetId="4" userName="127" r:id="rId60">
    <sheetIdMap count="3">
      <sheetId val="2"/>
      <sheetId val="1"/>
      <sheetId val="3"/>
    </sheetIdMap>
  </header>
  <header guid="{EE5976BA-D926-4FA0-A44F-E1C748B32AC6}" dateTime="2018-07-26T16:09:23" maxSheetId="4" userName="127" r:id="rId61" minRId="7866" maxRId="7900">
    <sheetIdMap count="3">
      <sheetId val="2"/>
      <sheetId val="1"/>
      <sheetId val="3"/>
    </sheetIdMap>
  </header>
  <header guid="{BDAC7C39-1328-4800-B838-3269C77081B8}" dateTime="2018-07-27T09:58:27" maxSheetId="4" userName="127" r:id="rId62" minRId="7905">
    <sheetIdMap count="3">
      <sheetId val="2"/>
      <sheetId val="1"/>
      <sheetId val="3"/>
    </sheetIdMap>
  </header>
  <header guid="{36CCAD36-BAA3-47A0-8845-441AD633F497}" dateTime="2018-07-27T09:59:04" maxSheetId="4" userName="127" r:id="rId63" minRId="7910">
    <sheetIdMap count="3">
      <sheetId val="2"/>
      <sheetId val="1"/>
      <sheetId val="3"/>
    </sheetIdMap>
  </header>
  <header guid="{9DCF1BFE-CA48-432D-94FE-AC613F7D91AE}" dateTime="2018-07-31T14:33:01" maxSheetId="4" userName="ZamGlav" r:id="rId64" minRId="7915">
    <sheetIdMap count="3">
      <sheetId val="2"/>
      <sheetId val="1"/>
      <sheetId val="3"/>
    </sheetIdMap>
  </header>
  <header guid="{DE04A912-50DC-4A7F-AB1C-8F2F7195EF02}" dateTime="2018-07-31T14:33:32" maxSheetId="4" userName="ZamGlav" r:id="rId65" minRId="7917">
    <sheetIdMap count="3">
      <sheetId val="2"/>
      <sheetId val="1"/>
      <sheetId val="3"/>
    </sheetIdMap>
  </header>
  <header guid="{F73CA275-8951-4AC2-97BC-56C9B048D3C0}" dateTime="2018-08-07T13:51:45" maxSheetId="4" userName="128" r:id="rId66" minRId="7918" maxRId="7926">
    <sheetIdMap count="3">
      <sheetId val="2"/>
      <sheetId val="1"/>
      <sheetId val="3"/>
    </sheetIdMap>
  </header>
  <header guid="{6DA3E537-4C38-4856-8A70-E5CE552D69E0}" dateTime="2018-08-07T14:07:02" maxSheetId="4" userName="128" r:id="rId67" minRId="7927" maxRId="7934">
    <sheetIdMap count="3">
      <sheetId val="2"/>
      <sheetId val="1"/>
      <sheetId val="3"/>
    </sheetIdMap>
  </header>
  <header guid="{AE4F1BF6-70D9-44AF-B63B-54A25F1A410F}" dateTime="2018-08-29T13:35:30" maxSheetId="4" userName="128" r:id="rId68" minRId="7936" maxRId="7957">
    <sheetIdMap count="3">
      <sheetId val="2"/>
      <sheetId val="1"/>
      <sheetId val="3"/>
    </sheetIdMap>
  </header>
  <header guid="{4A1C1E0A-7EF9-4E44-BA4E-63E6B0064157}" dateTime="2018-11-21T09:35:03" maxSheetId="4" userName="127" r:id="rId69" minRId="7958" maxRId="7974">
    <sheetIdMap count="3">
      <sheetId val="2"/>
      <sheetId val="1"/>
      <sheetId val="3"/>
    </sheetIdMap>
  </header>
  <header guid="{37FEB392-D53E-4435-B04C-40744E772B16}" dateTime="2018-11-21T09:38:28" maxSheetId="4" userName="127" r:id="rId70" minRId="7979" maxRId="7985">
    <sheetIdMap count="3">
      <sheetId val="2"/>
      <sheetId val="1"/>
      <sheetId val="3"/>
    </sheetIdMap>
  </header>
  <header guid="{9ED2FD25-C5AE-4A95-A791-C987BD1D3F27}" dateTime="2018-11-21T09:41:10" maxSheetId="4" userName="127" r:id="rId71" minRId="7990" maxRId="7996">
    <sheetIdMap count="3">
      <sheetId val="2"/>
      <sheetId val="1"/>
      <sheetId val="3"/>
    </sheetIdMap>
  </header>
  <header guid="{40C4038F-BBF8-456B-9D44-713050CB47DC}" dateTime="2018-11-21T09:49:21" maxSheetId="4" userName="127" r:id="rId72" minRId="8001" maxRId="8006">
    <sheetIdMap count="3">
      <sheetId val="2"/>
      <sheetId val="1"/>
      <sheetId val="3"/>
    </sheetIdMap>
  </header>
  <header guid="{A3E4B716-0C6B-4AB6-96AB-C47CA25E74C6}" dateTime="2018-11-22T10:08:52" maxSheetId="4" userName="127" r:id="rId73" minRId="8011" maxRId="8013">
    <sheetIdMap count="3">
      <sheetId val="2"/>
      <sheetId val="1"/>
      <sheetId val="3"/>
    </sheetIdMap>
  </header>
  <header guid="{795BA9F4-41D1-4243-88A2-E64992D1479C}" dateTime="2018-11-22T10:09:23" maxSheetId="4" userName="127" r:id="rId74">
    <sheetIdMap count="3">
      <sheetId val="2"/>
      <sheetId val="1"/>
      <sheetId val="3"/>
    </sheetIdMap>
  </header>
  <header guid="{E404E43F-0AD3-4622-9300-16AC7B685787}" dateTime="2018-11-22T10:10:04" maxSheetId="4" userName="127" r:id="rId75">
    <sheetIdMap count="3">
      <sheetId val="2"/>
      <sheetId val="1"/>
      <sheetId val="3"/>
    </sheetIdMap>
  </header>
  <header guid="{49A61B2A-5CFC-49F1-AE6B-C3A3DA458D13}" dateTime="2018-11-22T10:53:43" maxSheetId="4" userName="127" r:id="rId76" minRId="8026" maxRId="8028">
    <sheetIdMap count="3">
      <sheetId val="2"/>
      <sheetId val="1"/>
      <sheetId val="3"/>
    </sheetIdMap>
  </header>
  <header guid="{A34573CA-2F34-435A-BD1E-41A68D7BB001}" dateTime="2018-11-22T10:54:00" maxSheetId="4" userName="127" r:id="rId77" minRId="8033">
    <sheetIdMap count="3">
      <sheetId val="2"/>
      <sheetId val="1"/>
      <sheetId val="3"/>
    </sheetIdMap>
  </header>
  <header guid="{0441093E-F565-41EB-B394-2BFE8C2F15B6}" dateTime="2018-11-23T11:00:12" maxSheetId="4" userName="127" r:id="rId78" minRId="8038" maxRId="8039">
    <sheetIdMap count="3">
      <sheetId val="2"/>
      <sheetId val="1"/>
      <sheetId val="3"/>
    </sheetIdMap>
  </header>
  <header guid="{20CE58FF-CDC3-4185-8622-4DA733FF8B9F}" dateTime="2018-11-23T11:02:27" maxSheetId="4" userName="127" r:id="rId79" minRId="8044" maxRId="8046">
    <sheetIdMap count="3">
      <sheetId val="2"/>
      <sheetId val="1"/>
      <sheetId val="3"/>
    </sheetIdMap>
  </header>
  <header guid="{EDC9E1DA-46BB-498D-AE4C-AB76E4B56F42}" dateTime="2018-11-28T11:46:04" maxSheetId="4" userName="Юрист" r:id="rId80" minRId="8051">
    <sheetIdMap count="3">
      <sheetId val="2"/>
      <sheetId val="1"/>
      <sheetId val="3"/>
    </sheetIdMap>
  </header>
  <header guid="{19DC01C3-02EB-461C-B5E6-9B6CA4E510F6}" dateTime="2018-11-29T15:34:29" maxSheetId="4" userName="Юрист" r:id="rId81" minRId="8053">
    <sheetIdMap count="3">
      <sheetId val="2"/>
      <sheetId val="1"/>
      <sheetId val="3"/>
    </sheetIdMap>
  </header>
  <header guid="{96F0208A-F9BE-420D-880D-E6FA871484D9}" dateTime="2018-12-07T11:04:59" maxSheetId="4" userName="127" r:id="rId82" minRId="8055" maxRId="8056">
    <sheetIdMap count="3">
      <sheetId val="2"/>
      <sheetId val="1"/>
      <sheetId val="3"/>
    </sheetIdMap>
  </header>
  <header guid="{738E2C21-4AF6-4A27-A48E-20F4FBA9DFE9}" dateTime="2018-12-07T11:05:15" maxSheetId="4" userName="127" r:id="rId83">
    <sheetIdMap count="3">
      <sheetId val="2"/>
      <sheetId val="1"/>
      <sheetId val="3"/>
    </sheetIdMap>
  </header>
  <header guid="{88408B4A-1545-49CC-AE69-9BCEFA7AF61B}" dateTime="2018-12-07T14:37:11" maxSheetId="4" userName="127" r:id="rId84" minRId="8065" maxRId="8085">
    <sheetIdMap count="3">
      <sheetId val="2"/>
      <sheetId val="1"/>
      <sheetId val="3"/>
    </sheetIdMap>
  </header>
  <header guid="{59724CD4-A7DA-481F-ABC4-AA342BE68E41}" dateTime="2018-12-07T15:42:45" maxSheetId="4" userName="127" r:id="rId85" minRId="8090" maxRId="8091">
    <sheetIdMap count="3">
      <sheetId val="2"/>
      <sheetId val="1"/>
      <sheetId val="3"/>
    </sheetIdMap>
  </header>
  <header guid="{98F72DE3-F254-4F84-B37B-18E101EFC22A}" dateTime="2018-12-07T15:56:44" maxSheetId="4" userName="127" r:id="rId86" minRId="8096" maxRId="8108">
    <sheetIdMap count="3">
      <sheetId val="2"/>
      <sheetId val="1"/>
      <sheetId val="3"/>
    </sheetIdMap>
  </header>
  <header guid="{A436AAD8-514F-4823-98D9-9E412C68E36C}" dateTime="2018-12-07T16:06:33" maxSheetId="4" userName="127" r:id="rId87" minRId="8113">
    <sheetIdMap count="3">
      <sheetId val="2"/>
      <sheetId val="1"/>
      <sheetId val="3"/>
    </sheetIdMap>
  </header>
  <header guid="{C638E488-A278-4A43-AE96-39878320B2A9}" dateTime="2018-12-07T16:49:34" maxSheetId="4" userName="127" r:id="rId88" minRId="8118" maxRId="8127">
    <sheetIdMap count="3">
      <sheetId val="2"/>
      <sheetId val="1"/>
      <sheetId val="3"/>
    </sheetIdMap>
  </header>
  <header guid="{9C0232C2-4F56-4DB8-9F83-BB1E92D73D21}" dateTime="2018-12-27T08:36:11" maxSheetId="4" userName="127" r:id="rId89" minRId="8132" maxRId="8169">
    <sheetIdMap count="3">
      <sheetId val="2"/>
      <sheetId val="1"/>
      <sheetId val="3"/>
    </sheetIdMap>
  </header>
  <header guid="{C407EBC9-F603-456A-8EDA-9A381DF9359D}" dateTime="2018-12-27T08:36:59" maxSheetId="4" userName="127" r:id="rId90" minRId="8174">
    <sheetIdMap count="3">
      <sheetId val="2"/>
      <sheetId val="1"/>
      <sheetId val="3"/>
    </sheetIdMap>
  </header>
  <header guid="{0B25AFDA-9630-490E-9CDC-AE0A26F2339F}" dateTime="2018-12-27T08:40:56" maxSheetId="4" userName="127" r:id="rId91" minRId="8179" maxRId="8187">
    <sheetIdMap count="3">
      <sheetId val="2"/>
      <sheetId val="1"/>
      <sheetId val="3"/>
    </sheetIdMap>
  </header>
  <header guid="{25703990-BBFB-4752-8D68-96BE140E6B47}" dateTime="2018-12-27T08:41:17" maxSheetId="4" userName="127" r:id="rId92" minRId="8192">
    <sheetIdMap count="3">
      <sheetId val="2"/>
      <sheetId val="1"/>
      <sheetId val="3"/>
    </sheetIdMap>
  </header>
  <header guid="{C1F6D2C6-255C-401D-A1A8-A01696AD8163}" dateTime="2018-12-27T08:46:35" maxSheetId="4" userName="127" r:id="rId93" minRId="8197" maxRId="8204">
    <sheetIdMap count="3">
      <sheetId val="2"/>
      <sheetId val="1"/>
      <sheetId val="3"/>
    </sheetIdMap>
  </header>
  <header guid="{3F2FE19A-90A3-4626-868F-E035526CDAE4}" dateTime="2018-12-27T08:47:33" maxSheetId="4" userName="127" r:id="rId94" minRId="8209" maxRId="8212">
    <sheetIdMap count="3">
      <sheetId val="2"/>
      <sheetId val="1"/>
      <sheetId val="3"/>
    </sheetIdMap>
  </header>
  <header guid="{CCB834B4-8153-40CA-94C3-7F0578E2F345}" dateTime="2018-12-27T08:53:15" maxSheetId="4" userName="127" r:id="rId95" minRId="8217" maxRId="8258">
    <sheetIdMap count="3">
      <sheetId val="2"/>
      <sheetId val="1"/>
      <sheetId val="3"/>
    </sheetIdMap>
  </header>
  <header guid="{590C3552-EF68-43D5-AF9D-5175E428766B}" dateTime="2018-12-27T08:54:02" maxSheetId="4" userName="127" r:id="rId96" minRId="8263" maxRId="8265">
    <sheetIdMap count="3">
      <sheetId val="2"/>
      <sheetId val="1"/>
      <sheetId val="3"/>
    </sheetIdMap>
  </header>
  <header guid="{9DF4E833-A728-4B36-8195-B0850BE7E971}" dateTime="2018-12-27T08:55:55" maxSheetId="4" userName="127" r:id="rId97">
    <sheetIdMap count="3">
      <sheetId val="2"/>
      <sheetId val="1"/>
      <sheetId val="3"/>
    </sheetIdMap>
  </header>
  <header guid="{FE1C02DC-46D5-4E31-B705-DEDDDB14C286}" dateTime="2018-12-27T09:06:59" maxSheetId="4" userName="127" r:id="rId98" minRId="8274" maxRId="8278">
    <sheetIdMap count="3">
      <sheetId val="2"/>
      <sheetId val="1"/>
      <sheetId val="3"/>
    </sheetIdMap>
  </header>
  <header guid="{5A38F9B2-C5C3-469A-B3D1-DACB93D21A4B}" dateTime="2018-12-27T09:10:27" maxSheetId="4" userName="127" r:id="rId99">
    <sheetIdMap count="3">
      <sheetId val="2"/>
      <sheetId val="1"/>
      <sheetId val="3"/>
    </sheetIdMap>
  </header>
  <header guid="{0B3E03C8-DBF7-4CF6-8346-44C2B2677944}" dateTime="2018-12-27T09:10:50" maxSheetId="4" userName="127" r:id="rId100">
    <sheetIdMap count="3">
      <sheetId val="2"/>
      <sheetId val="1"/>
      <sheetId val="3"/>
    </sheetIdMap>
  </header>
  <header guid="{CD3B8975-16F9-4250-A2B0-DA1D2626FBAA}" dateTime="2018-12-27T09:14:48" maxSheetId="4" userName="127" r:id="rId101" minRId="8291">
    <sheetIdMap count="3">
      <sheetId val="2"/>
      <sheetId val="1"/>
      <sheetId val="3"/>
    </sheetIdMap>
  </header>
  <header guid="{51FF00C9-88B2-47DA-992A-81646496BC31}" dateTime="2018-12-27T11:39:54" maxSheetId="4" userName="127" r:id="rId102" minRId="8296" maxRId="8297">
    <sheetIdMap count="3">
      <sheetId val="2"/>
      <sheetId val="1"/>
      <sheetId val="3"/>
    </sheetIdMap>
  </header>
  <header guid="{E23D2A59-88E2-4FE0-9018-68E39F1912B8}" dateTime="2018-12-27T17:05:50" maxSheetId="4" userName="Юрист" r:id="rId103" minRId="8302">
    <sheetIdMap count="3">
      <sheetId val="2"/>
      <sheetId val="1"/>
      <sheetId val="3"/>
    </sheetIdMap>
  </header>
  <header guid="{2330D66E-0862-4802-80BE-E8DA06C8103D}" dateTime="2018-12-28T09:07:20" maxSheetId="4" userName="Юрист" r:id="rId104" minRId="8304" maxRId="8305">
    <sheetIdMap count="3">
      <sheetId val="2"/>
      <sheetId val="1"/>
      <sheetId val="3"/>
    </sheetIdMap>
  </header>
  <header guid="{8A018EED-BF36-4D7A-89C3-B7D7F31457BC}" dateTime="2018-12-28T09:14:20" maxSheetId="4" userName="Юрист" r:id="rId105" minRId="8307" maxRId="8309">
    <sheetIdMap count="3">
      <sheetId val="2"/>
      <sheetId val="1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307" sId="1">
    <nc r="G3" t="inlineStr">
      <is>
        <t>от 28.12.2018г.</t>
      </is>
    </nc>
  </rcc>
  <rcc rId="8308" sId="1">
    <oc r="E1" t="inlineStr">
      <is>
        <t xml:space="preserve">Приложение № </t>
      </is>
    </oc>
    <nc r="E1" t="inlineStr">
      <is>
        <t xml:space="preserve">Приложение </t>
      </is>
    </nc>
  </rcc>
  <rcc rId="8309" sId="1">
    <oc r="F1">
      <v>2.4</v>
    </oc>
    <nc r="F1" t="inlineStr">
      <is>
        <t>№ 2,4</t>
      </is>
    </nc>
  </rcc>
  <rcv guid="{1D456867-ECB1-4D8E-874D-17CC7019B8E5}" action="delete"/>
  <rdn rId="0" localSheetId="1" customView="1" name="Z_1D456867_ECB1_4D8E_874D_17CC7019B8E5_.wvu.FilterData" hidden="1" oldHidden="1">
    <formula>Вед2018!$E$1:$E$386</formula>
    <oldFormula>Вед2018!$E$1:$E$386</oldFormula>
  </rdn>
  <rcv guid="{1D456867-ECB1-4D8E-874D-17CC7019B8E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7" sId="1">
    <oc r="F3" t="inlineStr">
      <is>
        <t xml:space="preserve">№   от 30.03.2018 </t>
      </is>
    </oc>
    <nc r="F3" t="inlineStr">
      <is>
        <t xml:space="preserve">№ 322  от 30.03.2018 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065" sId="1">
    <oc r="G184">
      <f>255000-124941.3+2168.03-2168.03</f>
    </oc>
    <nc r="G184">
      <f>255000-124941.3-34232+2168.03-2168.03</f>
    </nc>
  </rcc>
  <rcc rId="8066" sId="1">
    <oc r="G185">
      <f>77000-34628.89-98.4</f>
    </oc>
    <nc r="G185">
      <f>77000-34628.89-10338.06-98.4</f>
    </nc>
  </rcc>
  <rrc rId="8067" sId="1" ref="A189:XFD189" action="insertRow">
    <undo index="0" exp="area" ref3D="1" dr="$A$211:$XFD$212" dn="Z_4F39DA5C_9059_406E_9F89_B6E20F660542_.wvu.Rows" sId="1"/>
  </rrc>
  <rrc rId="8068" sId="1" ref="A189:XFD189" action="insertRow">
    <undo index="0" exp="area" ref3D="1" dr="$A$212:$XFD$213" dn="Z_4F39DA5C_9059_406E_9F89_B6E20F660542_.wvu.Rows" sId="1"/>
  </rrc>
  <rcc rId="8069" sId="1" numFmtId="4">
    <nc r="B189">
      <v>650</v>
    </nc>
  </rcc>
  <rcc rId="8070" sId="1" numFmtId="4">
    <nc r="B190">
      <v>650</v>
    </nc>
  </rcc>
  <rcc rId="8071" sId="1" numFmtId="4">
    <nc r="C189">
      <v>7</v>
    </nc>
  </rcc>
  <rcc rId="8072" sId="1" numFmtId="4">
    <nc r="C190">
      <v>7</v>
    </nc>
  </rcc>
  <rcc rId="8073" sId="1" numFmtId="4">
    <nc r="D189">
      <v>7</v>
    </nc>
  </rcc>
  <rcc rId="8074" sId="1" numFmtId="4">
    <nc r="D190">
      <v>7</v>
    </nc>
  </rcc>
  <rcc rId="8075" sId="1">
    <nc r="E189" t="inlineStr">
      <is>
        <t>0520100540</t>
      </is>
    </nc>
  </rcc>
  <rcc rId="8076" sId="1" numFmtId="4">
    <nc r="F189">
      <v>540</v>
    </nc>
  </rcc>
  <rcc rId="8077" sId="1" numFmtId="4">
    <nc r="G189">
      <v>44570.06</v>
    </nc>
  </rcc>
  <rcc rId="8078" sId="1" numFmtId="4">
    <nc r="G190">
      <v>19380.53</v>
    </nc>
  </rcc>
  <rcc rId="8079" sId="1">
    <oc r="G187">
      <f>58210.45-34083.1</f>
    </oc>
    <nc r="G187">
      <f>58210.45-34083.1-14885.2</f>
    </nc>
  </rcc>
  <rcc rId="8080" sId="1">
    <oc r="G188">
      <f>17579.55-9582.35</f>
    </oc>
    <nc r="G188">
      <f>17579.55-9582.35-4495.33</f>
    </nc>
  </rcc>
  <rcc rId="8081" sId="1">
    <nc r="A189" t="inlineStr">
      <is>
        <t>Иные межбюджетные трансферты</t>
      </is>
    </nc>
  </rcc>
  <rcc rId="8082" sId="1">
    <nc r="A190" t="inlineStr">
      <is>
        <t>Иные межбюджетные трансферты</t>
      </is>
    </nc>
  </rcc>
  <rcc rId="8083" sId="1">
    <nc r="E190" t="inlineStr">
      <is>
        <t>0520185150</t>
      </is>
    </nc>
  </rcc>
  <rcc rId="8084" sId="1" numFmtId="4">
    <nc r="F190">
      <v>540</v>
    </nc>
  </rcc>
  <rcc rId="8085" sId="1">
    <oc r="G180">
      <f>G183+G186</f>
    </oc>
    <nc r="G180">
      <f>G183+G186+G189+G190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Вед2018!$A$1:$H$245</formula>
    <oldFormula>Вед2018!$A$1:$H$245</oldFormula>
  </rdn>
  <rdn rId="0" localSheetId="1" customView="1" name="Z_4F39DA5C_9059_406E_9F89_B6E20F660542_.wvu.Rows" hidden="1" oldHidden="1">
    <formula>Вед2018!$213:$214</formula>
    <oldFormula>Вед2018!$213:$214</oldFormula>
  </rdn>
  <rdn rId="0" localSheetId="1" customView="1" name="Z_4F39DA5C_9059_406E_9F89_B6E20F660542_.wvu.FilterData" hidden="1" oldHidden="1">
    <formula>Вед2018!$E$1:$E$375</formula>
    <oldFormula>Вед2018!$E$1:$E$375</oldFormula>
  </rdn>
  <rcv guid="{4F39DA5C-9059-406E-9F89-B6E20F660542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302" sId="1">
    <oc r="E1" t="inlineStr">
      <is>
        <t>Приложение № 4</t>
      </is>
    </oc>
    <nc r="E1" t="inlineStr">
      <is>
        <t xml:space="preserve">Приложение № </t>
      </is>
    </nc>
  </rcc>
  <rcv guid="{1D456867-ECB1-4D8E-874D-17CC7019B8E5}" action="delete"/>
  <rdn rId="0" localSheetId="1" customView="1" name="Z_1D456867_ECB1_4D8E_874D_17CC7019B8E5_.wvu.FilterData" hidden="1" oldHidden="1">
    <formula>Вед2018!$E$1:$E$386</formula>
    <oldFormula>Вед2018!$E$1:$E$386</oldFormula>
  </rdn>
  <rcv guid="{1D456867-ECB1-4D8E-874D-17CC7019B8E5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7866" sId="1" numFmtId="4">
    <oc r="G160">
      <v>847800</v>
    </oc>
    <nc r="G160">
      <f>847800-847800</f>
    </nc>
  </rcc>
  <rcc rId="7867" sId="1" numFmtId="4">
    <oc r="G207">
      <v>100000</v>
    </oc>
    <nc r="G207">
      <v>0</v>
    </nc>
  </rcc>
  <rcc rId="7868" sId="1" numFmtId="4">
    <oc r="G222">
      <v>377640</v>
    </oc>
    <nc r="G222">
      <f>377640+166393.51</f>
    </nc>
  </rcc>
  <rcc rId="7869" sId="1">
    <oc r="G33">
      <f>1798900+87880.15</f>
    </oc>
    <nc r="G33">
      <f>1798900+87880.15-216644.34</f>
    </nc>
  </rcc>
  <rrc rId="7870" sId="1" ref="A36:XFD36" action="insertRow"/>
  <rrc rId="7871" sId="1" ref="A36:XFD36" action="insertRow"/>
  <rcc rId="7872" sId="1">
    <nc r="A36" t="inlineStr">
      <is>
        <t xml:space="preserve">Подготовка и проведение выборов </t>
      </is>
    </nc>
  </rcc>
  <rcc rId="7873" sId="1" numFmtId="4">
    <nc r="B36">
      <v>650</v>
    </nc>
  </rcc>
  <rcc rId="7874" sId="1" numFmtId="4">
    <nc r="C36">
      <v>1</v>
    </nc>
  </rcc>
  <rcc rId="7875" sId="1" numFmtId="4">
    <nc r="D36">
      <v>7</v>
    </nc>
  </rcc>
  <rcc rId="7876" sId="1">
    <nc r="E36" t="inlineStr">
      <is>
        <t>0700179990</t>
      </is>
    </nc>
  </rcc>
  <rcc rId="7877" sId="1" numFmtId="4">
    <nc r="F36">
      <v>120</v>
    </nc>
  </rcc>
  <rrc rId="7878" sId="1" ref="A36:XFD36" action="insertRow"/>
  <rcc rId="7879" sId="1">
    <nc r="A36" t="inlineStr">
      <is>
        <t xml:space="preserve">Подготовка и проведение выборов </t>
      </is>
    </nc>
  </rcc>
  <rcc rId="7880" sId="1" numFmtId="4">
    <nc r="B36">
      <v>650</v>
    </nc>
  </rcc>
  <rcc rId="7881" sId="1" numFmtId="4">
    <nc r="C36">
      <v>1</v>
    </nc>
  </rcc>
  <rcc rId="7882" sId="1" numFmtId="4">
    <nc r="D36">
      <v>7</v>
    </nc>
  </rcc>
  <rcc rId="7883" sId="1">
    <nc r="E36" t="inlineStr">
      <is>
        <t>0700179990</t>
      </is>
    </nc>
  </rcc>
  <rcc rId="7884" sId="1" numFmtId="4">
    <nc r="F36">
      <v>100</v>
    </nc>
  </rcc>
  <rcc rId="7885" sId="1">
    <nc r="G36">
      <f>G37</f>
    </nc>
  </rcc>
  <rcc rId="7886" sId="1" numFmtId="4">
    <nc r="G38">
      <v>276848</v>
    </nc>
  </rcc>
  <rcc rId="7887" sId="1" numFmtId="4">
    <nc r="F38">
      <v>12</v>
    </nc>
  </rcc>
  <rcc rId="7888" sId="1" numFmtId="4">
    <nc r="G37">
      <v>276848</v>
    </nc>
  </rcc>
  <rrc rId="7889" sId="1" ref="A38:XFD38" action="deleteRow">
    <rfmt sheetId="1" xfDxf="1" s="1" sqref="A38:XFD3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38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38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38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38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3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 numFmtId="4">
      <nc r="F38">
        <v>12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G38">
        <v>276848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38" start="0" length="0">
      <dxf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0" sId="1" ref="A36:XFD36" action="insertRow"/>
  <rcc rId="7891" sId="1">
    <nc r="A36" t="inlineStr">
      <is>
        <t xml:space="preserve">Подготовка и проведение выборов </t>
      </is>
    </nc>
  </rcc>
  <rcc rId="7892" sId="1" numFmtId="4">
    <nc r="B36">
      <v>650</v>
    </nc>
  </rcc>
  <rcc rId="7893" sId="1" numFmtId="4">
    <nc r="C36">
      <v>1</v>
    </nc>
  </rcc>
  <rcc rId="7894" sId="1" numFmtId="4">
    <nc r="D36">
      <v>7</v>
    </nc>
  </rcc>
  <rcc rId="7895" sId="1">
    <nc r="G36">
      <f>G37</f>
    </nc>
  </rcc>
  <rfmt sheetId="1" sqref="G36" start="0" length="2147483647">
    <dxf>
      <font>
        <b/>
      </font>
    </dxf>
  </rfmt>
  <rfmt sheetId="1" sqref="A36" start="0" length="2147483647">
    <dxf>
      <font>
        <b/>
      </font>
    </dxf>
  </rfmt>
  <rfmt sheetId="1" sqref="C36:D36" start="0" length="2147483647">
    <dxf>
      <font>
        <b/>
      </font>
    </dxf>
  </rfmt>
  <rcc rId="7896" sId="1">
    <oc r="G12">
      <f>G13+G59+G67+G97+G125+G175+G187+G227+G235</f>
    </oc>
    <nc r="G12">
      <f>G13+G59+G67+G97+G125+G175+G187+G227+G235+G36</f>
    </nc>
  </rcc>
  <rcc rId="7897" sId="1">
    <nc r="E36" t="inlineStr">
      <is>
        <t>070000000</t>
      </is>
    </nc>
  </rcc>
  <rcc rId="7898" sId="1">
    <oc r="G129">
      <f>G130-250000</f>
    </oc>
    <nc r="G129">
      <f>G130</f>
    </nc>
  </rcc>
  <rcc rId="7899" sId="1" numFmtId="4">
    <oc r="G131">
      <v>400000</v>
    </oc>
    <nc r="G131">
      <f>400000-250000</f>
    </nc>
  </rcc>
  <rcc rId="7900" sId="1">
    <oc r="G226">
      <v>114050</v>
    </oc>
    <nc r="G226">
      <f>114050+50250.83</f>
    </nc>
  </rcc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Функцион2018!$23:$23,Функцион2018!$35:$36</oldFormula>
  </rdn>
  <rdn rId="0" localSheetId="1" customView="1" name="Z_4F39DA5C_9059_406E_9F89_B6E20F660542_.wvu.PrintArea" hidden="1" oldHidden="1">
    <formula>Вед2018!$A$1:$H$241</formula>
    <oldFormula>Вед2018!$A$1:$H$241</oldFormula>
  </rdn>
  <rdn rId="0" localSheetId="1" customView="1" name="Z_4F39DA5C_9059_406E_9F89_B6E20F660542_.wvu.Rows" hidden="1" oldHidden="1">
    <formula>Вед2018!$209:$210</formula>
  </rdn>
  <rdn rId="0" localSheetId="1" customView="1" name="Z_4F39DA5C_9059_406E_9F89_B6E20F660542_.wvu.FilterData" hidden="1" oldHidden="1">
    <formula>Вед2018!$E$1:$E$371</formula>
    <oldFormula>Вед2018!$E$1:$E$371</oldFormula>
  </rdn>
  <rcv guid="{4F39DA5C-9059-406E-9F89-B6E20F660542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Функцион2018!$23:$23,Функцион2018!$35:$36</oldFormula>
  </rdn>
  <rdn rId="0" localSheetId="1" customView="1" name="Z_4F39DA5C_9059_406E_9F89_B6E20F660542_.wvu.PrintArea" hidden="1" oldHidden="1">
    <formula>Вед2018!$A$1:$H$238</formula>
    <oldFormula>Вед2018!$A$1:$H$238</oldFormula>
  </rdn>
  <rdn rId="0" localSheetId="1" customView="1" name="Z_4F39DA5C_9059_406E_9F89_B6E20F660542_.wvu.FilterData" hidden="1" oldHidden="1">
    <formula>Вед2018!$E$1:$E$368</formula>
    <oldFormula>Вед2018!$E$1:$E$368</oldFormula>
  </rdn>
  <rcv guid="{4F39DA5C-9059-406E-9F89-B6E20F660542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rc rId="7810" sId="2" ref="A18:XFD18" action="insertRow">
    <undo index="0" exp="area" ref3D="1" dr="$F$1:$F$1048576" dn="Z_F21A4357_4490_4DC5_AD5F_D74077CDC8A9_.wvu.Cols" sId="2"/>
    <undo index="4" exp="area" ref3D="1" dr="$A$35:$XFD$36" dn="Z_4F39DA5C_9059_406E_9F89_B6E20F660542_.wvu.Rows" sId="2"/>
    <undo index="2" exp="area" ref3D="1" dr="$A$23:$XFD$23" dn="Z_4F39DA5C_9059_406E_9F89_B6E20F660542_.wvu.Rows" sId="2"/>
  </rrc>
  <rcc rId="7811" sId="2" odxf="1" s="1" dxf="1">
    <nc r="A18" t="inlineStr">
      <is>
        <t>Защита населения и территории от чрезвычайных ситуаций природного и техногенного характера, гражданская оборона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b/>
        <sz val="10"/>
        <color auto="1"/>
        <name val="Times New Roman Cyr"/>
        <scheme val="none"/>
      </font>
      <border outline="0">
        <left style="medium">
          <color indexed="64"/>
        </left>
      </border>
    </ndxf>
  </rcc>
  <rfmt sheetId="2" sqref="A18" start="0" length="2147483647">
    <dxf>
      <font>
        <b val="0"/>
      </font>
    </dxf>
  </rfmt>
  <rcc rId="7812" sId="2" numFmtId="4">
    <nc r="B18">
      <v>3</v>
    </nc>
  </rcc>
  <rcc rId="7813" sId="2" numFmtId="4">
    <nc r="C18">
      <v>9</v>
    </nc>
  </rcc>
  <rcc rId="7814" sId="2">
    <nc r="D18">
      <f>Вед2018!G78</f>
    </nc>
  </rcc>
  <rcc rId="7815" sId="2">
    <oc r="D15">
      <f>D16+D19+D17</f>
    </oc>
    <nc r="D15">
      <f>D16+D19+D17+D18</f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Функцион2018!$17:$17,Функцион2018!$24:$24,Функцион2018!$36:$37</formula>
    <oldFormula>Функцион2018!$17:$17,Функцион2018!$24:$24,Функцион2018!$36:$37</oldFormula>
  </rdn>
  <rdn rId="0" localSheetId="1" customView="1" name="Z_4F39DA5C_9059_406E_9F89_B6E20F660542_.wvu.PrintArea" hidden="1" oldHidden="1">
    <formula>Вед2018!$A$1:$H$235</formula>
    <oldFormula>Вед2018!$A$1:$H$235</oldFormula>
  </rdn>
  <rdn rId="0" localSheetId="1" customView="1" name="Z_4F39DA5C_9059_406E_9F89_B6E20F660542_.wvu.FilterData" hidden="1" oldHidden="1">
    <formula>Вед2018!$E$1:$E$365</formula>
    <oldFormula>Вед2018!$E$1:$E$365</oldFormula>
  </rdn>
  <rcv guid="{4F39DA5C-9059-406E-9F89-B6E20F660542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Вед2018!$A$1:$H$235</formula>
    <oldFormula>Вед2018!$A$1:$H$235</oldFormula>
  </rdn>
  <rdn rId="0" localSheetId="1" customView="1" name="Z_4F39DA5C_9059_406E_9F89_B6E20F660542_.wvu.FilterData" hidden="1" oldHidden="1">
    <formula>Вед2018!$E$1:$E$365</formula>
    <oldFormula>Вед2018!$E$1:$E$365</oldFormula>
  </rdn>
  <rcv guid="{4F39DA5C-9059-406E-9F89-B6E20F66054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7436" sId="1">
    <oc r="E150" t="inlineStr">
      <is>
        <t>0241806500</t>
      </is>
    </oc>
    <nc r="E150" t="inlineStr">
      <is>
        <t>0240176500</t>
      </is>
    </nc>
  </rcc>
  <rcc rId="7437" sId="1">
    <oc r="E151" t="inlineStr">
      <is>
        <t>0241806500</t>
      </is>
    </oc>
    <nc r="E151" t="inlineStr">
      <is>
        <t>0240176500</t>
      </is>
    </nc>
  </rcc>
  <rcc rId="7438" sId="1">
    <oc r="E152" t="inlineStr">
      <is>
        <t>0241806500</t>
      </is>
    </oc>
    <nc r="E152" t="inlineStr">
      <is>
        <t>0240176500</t>
      </is>
    </nc>
  </rcc>
  <rcc rId="7439" sId="1">
    <oc r="E153" t="inlineStr">
      <is>
        <t>0241806500</t>
      </is>
    </oc>
    <nc r="E153" t="inlineStr">
      <is>
        <t>0240176500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8044" sId="1">
    <oc r="G126">
      <f>280500-39150-23000+9100+85130+47940</f>
    </oc>
    <nc r="G126">
      <f>280500-39150-23000+9100+85130+34140</f>
    </nc>
  </rcc>
  <rcc rId="8045" sId="1">
    <oc r="G32">
      <f>5956500+290993.89+17554.01</f>
    </oc>
    <nc r="G32">
      <f>5956500+290993.89+17554.01+58227.6</f>
    </nc>
  </rcc>
  <rcc rId="8046" sId="1">
    <oc r="G55">
      <f>837700+120485.85+39150+17000+6000+175000+28300+3485+21400+60500+235287.64</f>
    </oc>
    <nc r="G55">
      <f>837700+120485.85+39150+17000+6000+175000+28300+3485+21400+60500+190860.04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8011" sId="1">
    <oc r="G196">
      <f>9841500+307995.25-583492.94-634000</f>
    </oc>
    <nc r="G196">
      <f>9841500+307995.25-373155.354-634000</f>
    </nc>
  </rcc>
  <rcc rId="8012" sId="1">
    <oc r="G198">
      <f>2851000+93014.56-177000</f>
    </oc>
    <nc r="G198">
      <f>2851000+93014.56-177000+40452.7</f>
    </nc>
  </rcc>
  <rcc rId="8013" sId="1">
    <oc r="G202">
      <f>2023000+56600+76000+15000+13400+48279+130050+135985+16000+95101.41+2640+25000+1776+14000+124941.3+34628.89+5000+1672.88+187644.3+46500+14200+30000+112000+20000</f>
    </oc>
    <nc r="G202">
      <f>2023000+56600+76000+15000+13400+48279+130050+135985+16000+95101.41+2640+25000+1776+14000+124941.3+34628.89+5000+1672.88+14200+30000+112000+3354.01+18500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7958" sId="1">
    <oc r="G141">
      <f>6507500+2132500</f>
    </oc>
    <nc r="G141">
      <f>6507500+2132500-1517679</f>
    </nc>
  </rcc>
  <rcc rId="7959" sId="1">
    <oc r="G144">
      <f>342500+617500</f>
    </oc>
    <nc r="G144">
      <f>342500+617500-168631</f>
    </nc>
  </rcc>
  <rcc rId="7960" sId="1">
    <oc r="G201">
      <f>263400-56600+30000+46950</f>
    </oc>
    <nc r="G201">
      <f>263400-56600+30000+46950-2168.03</f>
    </nc>
  </rcc>
  <rcc rId="7961" sId="1" numFmtId="4">
    <oc r="G187">
      <v>58210.45</v>
    </oc>
    <nc r="G187">
      <f>58210.45+2168.03</f>
    </nc>
  </rcc>
  <rcc rId="7962" sId="1">
    <oc r="G106">
      <f>779500+22292+66816</f>
    </oc>
    <nc r="G106">
      <f>779500+22292+66816-13363.2</f>
    </nc>
  </rcc>
  <rcc rId="7963" sId="1">
    <oc r="G171">
      <f>600000+1270000+1270000</f>
    </oc>
    <nc r="G171">
      <f>600000+1270000+1270000-2295.83-5187.18</f>
    </nc>
  </rcc>
  <rcc rId="7964" sId="1">
    <oc r="G55">
      <f>837700+120485.85+39150+17000+6000+175000+28300+3485+21400</f>
    </oc>
    <nc r="G55">
      <f>837700+120485.85+39150+17000+6000+175000+28300+3485+21400+60500</f>
    </nc>
  </rcc>
  <rcc rId="7965" sId="1">
    <oc r="G223">
      <f>3398800+1497549.21+0.02</f>
    </oc>
    <nc r="G223">
      <f>3398800+1497549.21+0.02+489631.34+228380</f>
    </nc>
  </rcc>
  <rcc rId="7966" sId="1">
    <oc r="G224">
      <f>1026400+452259.87</f>
    </oc>
    <nc r="G224">
      <f>1026400+452259.87+147868.66+68971.13</f>
    </nc>
  </rcc>
  <rcc rId="7967" sId="1" numFmtId="4">
    <oc r="G58">
      <v>60000</v>
    </oc>
    <nc r="G58">
      <f>60000-28626</f>
    </nc>
  </rcc>
  <rcc rId="7968" sId="1" numFmtId="4">
    <oc r="G59">
      <v>30000</v>
    </oc>
    <nc r="G59">
      <f>30000-15998</f>
    </nc>
  </rcc>
  <rcc rId="7969" sId="1" numFmtId="4">
    <oc r="G82">
      <v>1292</v>
    </oc>
    <nc r="G82">
      <f>1292-331.66</f>
    </nc>
  </rcc>
  <rcc rId="7970" sId="1" numFmtId="4">
    <oc r="G136">
      <v>10000</v>
    </oc>
    <nc r="G136">
      <f>10000-10000</f>
    </nc>
  </rcc>
  <rcc rId="7971" sId="1">
    <oc r="G110">
      <f>705400+200000</f>
    </oc>
    <nc r="G110">
      <f>705400+200000+44624.14</f>
    </nc>
  </rcc>
  <rcc rId="7972" sId="1" numFmtId="4">
    <oc r="G81">
      <v>4278</v>
    </oc>
    <nc r="G81">
      <f>4278+331.66</f>
    </nc>
  </rcc>
  <rcc rId="7973" sId="1">
    <oc r="G98">
      <v>5980</v>
    </oc>
    <nc r="G98">
      <f>5980-40-4980+5020</f>
    </nc>
  </rcc>
  <rcc rId="7974" sId="1">
    <oc r="G60">
      <f>120485.85+10000+28185.14-120485.85+21815</f>
    </oc>
    <nc r="G60">
      <f>120485.85+10000+28185.14-120485.85+21815+9999.86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8263" sId="1">
    <oc r="G13">
      <f>G14+G22+G41+G46</f>
    </oc>
    <nc r="G13">
      <f>G14+G22+G41+G46+G61</f>
    </nc>
  </rcc>
  <rcc rId="8264" sId="1">
    <oc r="G55">
      <f>837700+120485.85+39150+17000+6000+175000+28300+3485+21400+60500+190860.04-4000-12000-2945-3000-32533.88-28902-21543.97</f>
    </oc>
    <nc r="G55">
      <f>837700+120485.85+39150+17000+6000+175000+28300+3485+21400+60500+190860.04-4000-12000-2945-3000-32533.88-28902-21543.97+129348.92</f>
    </nc>
  </rcc>
  <rcc rId="8265" sId="1">
    <oc r="G116">
      <f>705400+200000+44624.14+149600</f>
    </oc>
    <nc r="G116">
      <f>705400+200000+44624.14+149600+2273.51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8055" sId="1" numFmtId="4">
    <oc r="G94">
      <v>13950</v>
    </oc>
    <nc r="G94">
      <f>13950+5020</f>
    </nc>
  </rcc>
  <rcc rId="8056" sId="1">
    <oc r="G98">
      <f>5980-40-4980+5020</f>
    </oc>
    <nc r="G98">
      <f>5980-40-4980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8038" sId="1">
    <oc r="G202">
      <f>2023000+56600+76000+15000+13400+48279+130050+135985+16000+95101.41+2640+25000+1776+14000+124941.3+34628.89+5000+1672.88+14200+30000+112000+3354.01+18500</f>
    </oc>
    <nc r="G202">
      <f>2023000+56600+76000+15000+13400+48279+130050+135985+16000+95101.41+2640+25000+1776+14000+124941.3+34628.89+5000+1672.88+30000+112000+18500</f>
    </nc>
  </rcc>
  <rcc rId="8039" sId="1">
    <oc r="G32">
      <f>5956500+290993.89</f>
    </oc>
    <nc r="G32">
      <f>5956500+290993.89+17554.01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8033" sId="1">
    <oc r="G55">
      <f>837700+120485.85+39150+17000+6000+175000+28300+3485+21400+60500+234790.27</f>
    </oc>
    <nc r="G55">
      <f>837700+120485.85+39150+17000+6000+175000+28300+3485+21400+60500+235287.64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8217" sId="1">
    <oc r="G20">
      <f>1072200+169060.02+25905.46+46669.73+17554.01</f>
    </oc>
    <nc r="G20">
      <f>1072200+169060.02+25905.46+46669.73+17554.01+146930.32</f>
    </nc>
  </rcc>
  <rcc rId="8218" sId="1">
    <oc r="G21">
      <f>323800+51056.13-25905.46</f>
    </oc>
    <nc r="G21">
      <f>323800+51056.13-25905.46+25665.84</f>
    </nc>
  </rcc>
  <rcc rId="8219" sId="1">
    <oc r="G32">
      <f>5956500+290993.89+58227.6</f>
    </oc>
    <nc r="G32">
      <f>5956500+290993.89+58227.6+663678.59</f>
    </nc>
  </rcc>
  <rcc rId="8220" sId="1">
    <oc r="G33">
      <f>1798900+87880.15-216644.34+155000+31664.91</f>
    </oc>
    <nc r="G33">
      <f>1798900+87880.15-216644.34+155000+31664.91+334408.18</f>
    </nc>
  </rcc>
  <rrc rId="8221" sId="1" ref="A61:XFD61" action="insertRow">
    <undo index="0" exp="area" ref3D="1" dr="$A$219:$XFD$220" dn="Z_4F39DA5C_9059_406E_9F89_B6E20F660542_.wvu.Rows" sId="1"/>
  </rrc>
  <rrc rId="8222" sId="1" ref="A61:XFD61" action="insertRow">
    <undo index="0" exp="area" ref3D="1" dr="$A$220:$XFD$221" dn="Z_4F39DA5C_9059_406E_9F89_B6E20F660542_.wvu.Rows" sId="1"/>
  </rrc>
  <rrc rId="8223" sId="1" ref="A61:XFD61" action="insertRow">
    <undo index="0" exp="area" ref3D="1" dr="$A$221:$XFD$222" dn="Z_4F39DA5C_9059_406E_9F89_B6E20F660542_.wvu.Rows" sId="1"/>
  </rrc>
  <rcc rId="8224" sId="1" numFmtId="4">
    <nc r="B61">
      <v>650</v>
    </nc>
  </rcc>
  <rcc rId="8225" sId="1" numFmtId="4">
    <nc r="B62">
      <v>650</v>
    </nc>
  </rcc>
  <rcc rId="8226" sId="1" numFmtId="4">
    <nc r="B63">
      <v>650</v>
    </nc>
  </rcc>
  <rrc rId="8227" sId="1" ref="A62:XFD62" action="insertRow">
    <undo index="0" exp="area" ref3D="1" dr="$A$222:$XFD$223" dn="Z_4F39DA5C_9059_406E_9F89_B6E20F660542_.wvu.Rows" sId="1"/>
  </rrc>
  <rcc rId="8228" sId="1" numFmtId="4">
    <nc r="B62">
      <v>650</v>
    </nc>
  </rcc>
  <rcc rId="8229" sId="1" numFmtId="4">
    <nc r="C61">
      <v>1</v>
    </nc>
  </rcc>
  <rcc rId="8230" sId="1" numFmtId="4">
    <nc r="C62">
      <v>1</v>
    </nc>
  </rcc>
  <rcc rId="8231" sId="1" numFmtId="4">
    <nc r="C63">
      <v>1</v>
    </nc>
  </rcc>
  <rcc rId="8232" sId="1" numFmtId="4">
    <nc r="C64">
      <v>1</v>
    </nc>
  </rcc>
  <rcc rId="8233" sId="1" numFmtId="4">
    <nc r="D64">
      <v>13</v>
    </nc>
  </rcc>
  <rcc rId="8234" sId="1" numFmtId="4">
    <nc r="D63">
      <v>13</v>
    </nc>
  </rcc>
  <rcc rId="8235" sId="1" numFmtId="4">
    <nc r="D62">
      <v>13</v>
    </nc>
  </rcc>
  <rcc rId="8236" sId="1" numFmtId="4">
    <nc r="D61">
      <v>13</v>
    </nc>
  </rcc>
  <rcc rId="8237" sId="1">
    <nc r="E64" t="inlineStr">
      <is>
        <t>0900100590</t>
      </is>
    </nc>
  </rcc>
  <rcc rId="8238" sId="1" numFmtId="4">
    <nc r="F64">
      <v>119</v>
    </nc>
  </rcc>
  <rcc rId="8239" sId="1">
    <nc r="E63" t="inlineStr">
      <is>
        <t>0900100590</t>
      </is>
    </nc>
  </rcc>
  <rcc rId="8240" sId="1" numFmtId="4">
    <nc r="F63">
      <v>111</v>
    </nc>
  </rcc>
  <rcc rId="8241" sId="1">
    <nc r="E62" t="inlineStr">
      <is>
        <t>0900100590</t>
      </is>
    </nc>
  </rcc>
  <rcc rId="8242" sId="1" numFmtId="4">
    <nc r="F62">
      <v>100</v>
    </nc>
  </rcc>
  <rcc rId="8243" sId="1">
    <nc r="G62">
      <f>G63+G64</f>
    </nc>
  </rcc>
  <rcc rId="8244" sId="1">
    <nc r="G61">
      <f>G62</f>
    </nc>
  </rcc>
  <rcc rId="8245" sId="1" numFmtId="4">
    <nc r="G63">
      <v>100114.3</v>
    </nc>
  </rcc>
  <rcc rId="8246" sId="1" numFmtId="4">
    <nc r="G64">
      <v>30234.52</v>
    </nc>
  </rcc>
  <rcc rId="8247" sId="1">
    <nc r="A64" t="inlineStr">
      <is>
        <t>Начисления на выплату по оплате труда</t>
      </is>
    </nc>
  </rcc>
  <rcc rId="8248" sId="1">
    <nc r="A63" t="inlineStr">
      <is>
        <t>Заработная плата</t>
      </is>
    </nc>
  </rcc>
  <rcc rId="8249" sId="1" odxf="1" dxf="1">
    <nc r="A61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250" sId="1" odxf="1" dxf="1">
    <nc r="A62" t="inlineStr">
      <is>
        <t>Расходы на выплату персоналу казенных учреждений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rc rId="8251" sId="1" ref="A61:XFD61" action="insertRow">
    <undo index="0" exp="area" ref3D="1" dr="$A$223:$XFD$224" dn="Z_4F39DA5C_9059_406E_9F89_B6E20F660542_.wvu.Rows" sId="1"/>
  </rrc>
  <rcc rId="8252" sId="1" numFmtId="4">
    <nc r="B61">
      <v>650</v>
    </nc>
  </rcc>
  <rcc rId="8253" sId="1" numFmtId="4">
    <nc r="C61">
      <v>1</v>
    </nc>
  </rcc>
  <rcc rId="8254" sId="1" numFmtId="4">
    <nc r="D61">
      <v>13</v>
    </nc>
  </rcc>
  <rcc rId="8255" sId="1">
    <nc r="E62" t="inlineStr">
      <is>
        <t>0900100000</t>
      </is>
    </nc>
  </rcc>
  <rcc rId="8256" sId="1">
    <nc r="E61" t="inlineStr">
      <is>
        <t>090000000</t>
      </is>
    </nc>
  </rcc>
  <rfmt sheetId="1" sqref="A61:XFD61" start="0" length="2147483647">
    <dxf>
      <font>
        <b/>
      </font>
    </dxf>
  </rfmt>
  <rcc rId="8257" sId="1">
    <nc r="G61">
      <f>G62</f>
    </nc>
  </rcc>
  <rcc rId="8258" sId="1">
    <nc r="A61" t="inlineStr">
      <is>
        <t>Муниципальная программа "Обслуживание деятельности администрации сельского поселения Мулымья на 2018 год и 
плановый период  до 2022 года"</t>
      </is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8053" sId="1">
    <oc r="F3" t="inlineStr">
      <is>
        <t>№     от 29.11.2018г.</t>
      </is>
    </oc>
    <nc r="F3" t="inlineStr">
      <is>
        <t>№ 13   от 29.11.2018г.</t>
      </is>
    </nc>
  </rcc>
  <rcv guid="{1D456867-ECB1-4D8E-874D-17CC7019B8E5}" action="delete"/>
  <rdn rId="0" localSheetId="1" customView="1" name="Z_1D456867_ECB1_4D8E_874D_17CC7019B8E5_.wvu.FilterData" hidden="1" oldHidden="1">
    <formula>Вед2018!$E$1:$E$373</formula>
    <oldFormula>Вед2018!$E$1:$E$373</oldFormula>
  </rdn>
  <rcv guid="{1D456867-ECB1-4D8E-874D-17CC7019B8E5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001" sId="1">
    <oc r="G184">
      <f>255000-124941.3</f>
    </oc>
    <nc r="G184">
      <f>255000-124941.3+2168.03-2168.03</f>
    </nc>
  </rcc>
  <rcc rId="8002" sId="1">
    <oc r="G187">
      <f>58210.45+2168.03-2168.03</f>
    </oc>
    <nc r="G187">
      <f>58210.45-34083.1</f>
    </nc>
  </rcc>
  <rcc rId="8003" sId="1">
    <oc r="G185">
      <f>77000-34628.89</f>
    </oc>
    <nc r="G185">
      <f>77000-34628.89-98.4</f>
    </nc>
  </rcc>
  <rcc rId="8004" sId="1">
    <oc r="G188">
      <f>17579.55-98.4</f>
    </oc>
    <nc r="G188">
      <f>17579.55-9582.35</f>
    </nc>
  </rcc>
  <rcc rId="8005" sId="1" numFmtId="4">
    <oc r="G28">
      <v>384025</v>
    </oc>
    <nc r="G28">
      <f>384025+34083.1</f>
    </nc>
  </rcc>
  <rcc rId="8006" sId="1" numFmtId="4">
    <oc r="G29">
      <v>115975</v>
    </oc>
    <nc r="G29">
      <f>115975+9582.35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209" sId="1">
    <oc r="G204">
      <f>9841500+307995.25-373155.354-268344.3</f>
    </oc>
    <nc r="G204">
      <f>9841500+307995.25-373155.354-268344.3-389145.91</f>
    </nc>
  </rcc>
  <rcc rId="8210" sId="1">
    <oc r="G206">
      <f>2851000+93014.56-177000+40452.7</f>
    </oc>
    <nc r="G206">
      <f>2851000+93014.56-177000+40452.7-207691.8</f>
    </nc>
  </rcc>
  <rcc rId="8211" sId="1">
    <oc r="G209">
      <f>263400-56600+30000+46950-2168.03-520.07+11400-7964.88+6000</f>
    </oc>
    <nc r="G209">
      <f>263400-56600+30000+46950-2168.03-520.07+11400-7964.88+6000-2125.65</f>
    </nc>
  </rcc>
  <rcc rId="8212" sId="1">
    <oc r="G210">
      <f>2023000+56600+76000+15000+13400+48279+130050+135985+16000+97741.41+25000+124941.3+50182.89+5000+1672.88+30000+112000+18500+187644.3+46500+14200+20000+99990-30061.22+279.99</f>
    </oc>
    <nc r="G210">
      <f>2023000+56600+76000+15000+13400+48279+130050+135985+16000+97741.41+25000+124941.3+50182.89+5000+1672.88+30000+112000+18500+187644.3+46500+14200+20000+99990-30061.22+279.99-0.02-2866.95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Вед2018!$A$1:$H$251</formula>
    <oldFormula>Вед2018!$A$1:$H$251</oldFormula>
  </rdn>
  <rdn rId="0" localSheetId="1" customView="1" name="Z_4F39DA5C_9059_406E_9F89_B6E20F660542_.wvu.Rows" hidden="1" oldHidden="1">
    <formula>Вед2018!$219:$220</formula>
    <oldFormula>Вед2018!$219:$220</oldFormula>
  </rdn>
  <rdn rId="0" localSheetId="1" customView="1" name="Z_4F39DA5C_9059_406E_9F89_B6E20F660542_.wvu.FilterData" hidden="1" oldHidden="1">
    <formula>Вед2018!$E$1:$E$381</formula>
    <oldFormula>Вед2018!$E$1:$E$381</oldFormula>
  </rdn>
  <rcv guid="{4F39DA5C-9059-406E-9F89-B6E20F660542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8090" sId="1">
    <oc r="G20">
      <f>1072200+169060.02+25905.46+46669.73</f>
    </oc>
    <nc r="G20">
      <f>1072200+169060.02+25905.46+46669.73+17554.01</f>
    </nc>
  </rcc>
  <rcc rId="8091" sId="1">
    <oc r="G32">
      <f>5956500+290993.89+17554.01+58227.6</f>
    </oc>
    <nc r="G32">
      <f>5956500+290993.89+58227.6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Вед2018!$A$1:$H$245</formula>
    <oldFormula>Вед2018!$A$1:$H$245</oldFormula>
  </rdn>
  <rdn rId="0" localSheetId="1" customView="1" name="Z_4F39DA5C_9059_406E_9F89_B6E20F660542_.wvu.Rows" hidden="1" oldHidden="1">
    <formula>Вед2018!$213:$214</formula>
    <oldFormula>Вед2018!$213:$214</oldFormula>
  </rdn>
  <rdn rId="0" localSheetId="1" customView="1" name="Z_4F39DA5C_9059_406E_9F89_B6E20F660542_.wvu.FilterData" hidden="1" oldHidden="1">
    <formula>Вед2018!$E$1:$E$375</formula>
    <oldFormula>Вед2018!$E$1:$E$375</oldFormula>
  </rdn>
  <rcv guid="{4F39DA5C-9059-406E-9F89-B6E20F660542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8197" sId="1" numFmtId="4">
    <oc r="G52">
      <v>237400</v>
    </oc>
    <nc r="G52">
      <f>237400-24949.64</f>
    </nc>
  </rcc>
  <rcc rId="8198" sId="1">
    <oc r="G55">
      <f>837700+120485.85+39150+17000+6000+175000+28300+3485+21400+60500+190860.04-4000-12000-2945</f>
    </oc>
    <nc r="G55">
      <f>837700+120485.85+39150+17000+6000+175000+28300+3485+21400+60500+190860.04-4000-12000-2945-3000-32533.88-28902-21543.97</f>
    </nc>
  </rcc>
  <rcc rId="8199" sId="1">
    <oc r="G88">
      <f>37700+92000-14000</f>
    </oc>
    <nc r="G88">
      <f>37700+92000-14000-37700</f>
    </nc>
  </rcc>
  <rcc rId="8200" sId="1">
    <oc r="G127">
      <f>280500-39150-23000+9100+85130+34140+12000</f>
    </oc>
    <nc r="G127">
      <f>280500-39150-23000+9100+85130+34140+12000-9817.11</f>
    </nc>
  </rcc>
  <rcc rId="8201" sId="1" numFmtId="4">
    <oc r="G153">
      <v>1400000</v>
    </oc>
    <nc r="G153">
      <f>1400000-115461.05</f>
    </nc>
  </rcc>
  <rcc rId="8202" sId="1">
    <oc r="G158">
      <f>220000-76000-52125-11280.36</f>
    </oc>
    <nc r="G158">
      <f>220000-76000-52125-11280.36-80594.64</f>
    </nc>
  </rcc>
  <rcc rId="8203" sId="1">
    <oc r="G164">
      <f>558843+100000+52125+8616.36-199500+99600+99900+2664-2664+50000</f>
    </oc>
    <nc r="G164">
      <f>558843+100000+52125+8616.36-199500+99600+99900+2664-2664+50000-51343-2118.56</f>
    </nc>
  </rcc>
  <rcc rId="8204" sId="1">
    <oc r="G117">
      <f>2522500+54325.99-15960+585260</f>
    </oc>
    <nc r="G117">
      <f>2522500+54325.99-15960+585260-322860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Вед2018!$A$1:$H$251</formula>
    <oldFormula>Вед2018!$A$1:$H$251</oldFormula>
  </rdn>
  <rdn rId="0" localSheetId="1" customView="1" name="Z_4F39DA5C_9059_406E_9F89_B6E20F660542_.wvu.Rows" hidden="1" oldHidden="1">
    <formula>Вед2018!$219:$220</formula>
    <oldFormula>Вед2018!$219:$220</oldFormula>
  </rdn>
  <rdn rId="0" localSheetId="1" customView="1" name="Z_4F39DA5C_9059_406E_9F89_B6E20F660542_.wvu.FilterData" hidden="1" oldHidden="1">
    <formula>Вед2018!$E$1:$E$381</formula>
    <oldFormula>Вед2018!$E$1:$E$381</oldFormula>
  </rdn>
  <rcv guid="{4F39DA5C-9059-406E-9F89-B6E20F660542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8274" sId="1">
    <nc r="H185">
      <f>G185</f>
    </nc>
  </rcc>
  <rcc rId="8275" sId="1">
    <nc r="H186">
      <f>G186</f>
    </nc>
  </rcc>
  <rcc rId="8276" sId="1">
    <nc r="H184">
      <f>G184</f>
    </nc>
  </rcc>
  <rcc rId="8277" sId="1">
    <nc r="H183">
      <f>G183</f>
    </nc>
  </rcc>
  <rcc rId="8278" sId="1">
    <oc r="H12">
      <f>H66+H74+H95+H106+H143</f>
    </oc>
    <nc r="H12">
      <f>H66+H74+H95+H106+H143+H183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8132" sId="1">
    <oc r="F3" t="inlineStr">
      <is>
        <t>№ 13   от 29.11.2018г.</t>
      </is>
    </oc>
    <nc r="F3" t="inlineStr">
      <is>
        <t>№ от</t>
      </is>
    </nc>
  </rcc>
  <rcc rId="8133" sId="1">
    <oc r="G59">
      <f>30000-15998</f>
    </oc>
    <nc r="G59">
      <f>30000-15998+4000</f>
    </nc>
  </rcc>
  <rcc rId="8134" sId="1">
    <oc r="G200">
      <f>9841500+307995.25-373155.354</f>
    </oc>
    <nc r="G200">
      <f>9841500+307995.25-373155.354-268344.3</f>
    </nc>
  </rcc>
  <rcc rId="8135" sId="1">
    <oc r="G206">
      <f>2023000+56600+76000+15000+13400+48279+130050+135985+16000+97741.41+25000+124941.3+50182.89+5000+1672.88+30000+112000+18500</f>
    </oc>
    <nc r="G206">
      <f>2023000+56600+76000+15000+13400+48279+130050+135985+16000+97741.41+25000+124941.3+50182.89+5000+1672.88+30000+112000+18500+187644.3+46500+14200+20000</f>
    </nc>
  </rcc>
  <rcc rId="8136" sId="1">
    <oc r="G164">
      <f>558843+100000+52125+8616.36-199500+99600+99900+2664-2664</f>
    </oc>
    <nc r="G164">
      <f>558843+100000+52125+8616.36-199500+99600+99900+2664-2664+50000</f>
    </nc>
  </rcc>
  <rcc rId="8137" sId="1">
    <oc r="G55">
      <f>837700+120485.85+39150+17000+6000+175000+28300+3485+21400+60500+190860.04</f>
    </oc>
    <nc r="G55">
      <f>837700+120485.85+39150+17000+6000+175000+28300+3485+21400+60500+190860.04-4000-12000</f>
    </nc>
  </rcc>
  <rcc rId="8138" sId="1">
    <oc r="G127">
      <f>280500-39150-23000+9100+85130+34140</f>
    </oc>
    <nc r="G127">
      <f>280500-39150-23000+9100+85130+34140+12000</f>
    </nc>
  </rcc>
  <rrc rId="8139" sId="1" ref="A178:XFD178" action="insertRow">
    <undo index="0" exp="area" ref3D="1" dr="$A$215:$XFD$216" dn="Z_4F39DA5C_9059_406E_9F89_B6E20F660542_.wvu.Rows" sId="1"/>
  </rrc>
  <rrc rId="8140" sId="1" ref="A178:XFD178" action="insertRow">
    <undo index="0" exp="area" ref3D="1" dr="$A$216:$XFD$217" dn="Z_4F39DA5C_9059_406E_9F89_B6E20F660542_.wvu.Rows" sId="1"/>
  </rrc>
  <rrc rId="8141" sId="1" ref="A178:XFD178" action="insertRow">
    <undo index="0" exp="area" ref3D="1" dr="$A$217:$XFD$218" dn="Z_4F39DA5C_9059_406E_9F89_B6E20F660542_.wvu.Rows" sId="1"/>
  </rrc>
  <rrc rId="8142" sId="1" ref="A178:XFD178" action="insertRow">
    <undo index="0" exp="area" ref3D="1" dr="$A$218:$XFD$219" dn="Z_4F39DA5C_9059_406E_9F89_B6E20F660542_.wvu.Rows" sId="1"/>
  </rrc>
  <rcc rId="8143" sId="1" numFmtId="4">
    <nc r="B178">
      <v>650</v>
    </nc>
  </rcc>
  <rcc rId="8144" sId="1" numFmtId="4">
    <nc r="B179">
      <v>650</v>
    </nc>
  </rcc>
  <rcc rId="8145" sId="1" numFmtId="4">
    <nc r="B180">
      <v>650</v>
    </nc>
  </rcc>
  <rcc rId="8146" sId="1" numFmtId="4">
    <nc r="B181">
      <v>650</v>
    </nc>
  </rcc>
  <rcc rId="8147" sId="1" numFmtId="4">
    <nc r="C181">
      <v>6</v>
    </nc>
  </rcc>
  <rcc rId="8148" sId="1" numFmtId="4">
    <nc r="C180">
      <v>6</v>
    </nc>
  </rcc>
  <rcc rId="8149" sId="1" numFmtId="4">
    <nc r="C179">
      <v>6</v>
    </nc>
  </rcc>
  <rcc rId="8150" sId="1" numFmtId="4">
    <nc r="C178">
      <v>6</v>
    </nc>
  </rcc>
  <rcc rId="8151" sId="1" odxf="1" dxf="1">
    <nc r="D178" t="inlineStr">
      <is>
        <t>05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152" sId="1" odxf="1" dxf="1">
    <nc r="D179" t="inlineStr">
      <is>
        <t>05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153" sId="1" odxf="1" dxf="1">
    <nc r="D180" t="inlineStr">
      <is>
        <t>05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154" sId="1" odxf="1" dxf="1">
    <nc r="D181" t="inlineStr">
      <is>
        <t>05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A178:XFD178" start="0" length="2147483647">
    <dxf>
      <font>
        <b/>
      </font>
    </dxf>
  </rfmt>
  <rcc rId="8155" sId="1">
    <nc r="E181" t="inlineStr">
      <is>
        <t>0700184290</t>
      </is>
    </nc>
  </rcc>
  <rcc rId="8156" sId="1" numFmtId="4">
    <nc r="F181">
      <v>119</v>
    </nc>
  </rcc>
  <rcc rId="8157" sId="1">
    <nc r="E180" t="inlineStr">
      <is>
        <t>0700184290</t>
      </is>
    </nc>
  </rcc>
  <rcc rId="8158" sId="1" numFmtId="4">
    <nc r="F180">
      <v>111</v>
    </nc>
  </rcc>
  <rcc rId="8159" sId="1" numFmtId="4">
    <nc r="G181">
      <v>371.46</v>
    </nc>
  </rcc>
  <rcc rId="8160" sId="1" numFmtId="4">
    <nc r="G180">
      <v>1230</v>
    </nc>
  </rcc>
  <rcc rId="8161" sId="1">
    <nc r="G179">
      <f>G180+G181</f>
    </nc>
  </rcc>
  <rcc rId="8162" sId="1">
    <nc r="G178">
      <f>G179</f>
    </nc>
  </rcc>
  <rcc rId="8163" sId="1" numFmtId="4">
    <nc r="F179">
      <v>100</v>
    </nc>
  </rcc>
  <rcc rId="8164" sId="1">
    <nc r="E178" t="inlineStr">
      <is>
        <t>0700000000</t>
      </is>
    </nc>
  </rcc>
  <rcc rId="8165" sId="1">
    <nc r="E179" t="inlineStr">
      <is>
        <t>0700100000</t>
      </is>
    </nc>
  </rcc>
  <rcc rId="8166" sId="1">
    <nc r="A181" t="inlineStr">
      <is>
        <t>Начисления на выплату по оплате труда</t>
      </is>
    </nc>
  </rcc>
  <rcc rId="8167" sId="1">
    <nc r="A180" t="inlineStr">
      <is>
        <t>Заработная плата</t>
      </is>
    </nc>
  </rcc>
  <rcc rId="8168" sId="1">
    <nc r="A179" t="inlineStr">
      <is>
        <t>Субвенция на выполнение передаваемых полномочий по обращению с ТКО</t>
      </is>
    </nc>
  </rcc>
  <rcc rId="8169" sId="1">
    <nc r="A178">
      <f>A179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Вед2018!$A$1:$H$251</formula>
    <oldFormula>Вед2018!$A$1:$H$251</oldFormula>
  </rdn>
  <rdn rId="0" localSheetId="1" customView="1" name="Z_4F39DA5C_9059_406E_9F89_B6E20F660542_.wvu.Rows" hidden="1" oldHidden="1">
    <formula>Вед2018!$219:$220</formula>
    <oldFormula>Вед2018!$219:$220</oldFormula>
  </rdn>
  <rdn rId="0" localSheetId="1" customView="1" name="Z_4F39DA5C_9059_406E_9F89_B6E20F660542_.wvu.FilterData" hidden="1" oldHidden="1">
    <formula>Вед2018!$E$1:$E$381</formula>
    <oldFormula>Вед2018!$E$1:$E$381</oldFormula>
  </rdn>
  <rcv guid="{4F39DA5C-9059-406E-9F89-B6E20F66054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910" sId="2">
    <oc r="D3" t="inlineStr">
      <is>
        <t>№334      от 29.06.2018г.</t>
      </is>
    </oc>
    <nc r="D3" t="inlineStr">
      <is>
        <t>№     от 31.07.2018г.</t>
      </is>
    </nc>
  </rcc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Функцион2018!$23:$23,Функцион2018!$35:$36</oldFormula>
  </rdn>
  <rdn rId="0" localSheetId="1" customView="1" name="Z_4F39DA5C_9059_406E_9F89_B6E20F660542_.wvu.PrintArea" hidden="1" oldHidden="1">
    <formula>Вед2018!$A$1:$H$241</formula>
    <oldFormula>Вед2018!$A$1:$H$241</oldFormula>
  </rdn>
  <rdn rId="0" localSheetId="1" customView="1" name="Z_4F39DA5C_9059_406E_9F89_B6E20F660542_.wvu.Rows" hidden="1" oldHidden="1">
    <formula>Вед2018!$209:$210</formula>
    <oldFormula>Вед2018!$209:$210</oldFormula>
  </rdn>
  <rdn rId="0" localSheetId="1" customView="1" name="Z_4F39DA5C_9059_406E_9F89_B6E20F660542_.wvu.FilterData" hidden="1" oldHidden="1">
    <formula>Вед2018!$E$1:$E$371</formula>
    <oldFormula>Вед2018!$E$1:$E$371</oldFormula>
  </rdn>
  <rcv guid="{4F39DA5C-9059-406E-9F89-B6E20F66054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852" sId="1">
    <oc r="G126">
      <f>G127</f>
    </oc>
    <nc r="G126">
      <f>G127-250000</f>
    </nc>
  </rcc>
  <rcc rId="7853" sId="1">
    <oc r="G115">
      <f>780400+15960</f>
    </oc>
    <nc r="G115">
      <f>780400+15960+37600</f>
    </nc>
  </rcc>
  <rcc rId="7854" sId="1">
    <oc r="G121">
      <f>280500-39150-23000</f>
    </oc>
    <nc r="G121">
      <f>280500-39150-23000+9100</f>
    </nc>
  </rcc>
  <rcc rId="7855" sId="1">
    <oc r="G50">
      <f>837700+120485.85+39150+17000+6000</f>
    </oc>
    <nc r="G50">
      <f>837700+120485.85+39150+17000+6000+175000+28300</f>
    </nc>
  </rcc>
  <rcc rId="7856" sId="1">
    <oc r="G152">
      <f>220000-76000-52125</f>
    </oc>
    <nc r="G152">
      <f>220000-76000-52125-11280.36</f>
    </nc>
  </rcc>
  <rcc rId="7857" sId="1">
    <oc r="G35">
      <f>291973+6146-3073</f>
    </oc>
    <nc r="G35">
      <f>291973+6146-3073+2664</f>
    </nc>
  </rcc>
  <rcc rId="7858" sId="1">
    <oc r="G158">
      <f>558843+100000+52125</f>
    </oc>
    <nc r="G158">
      <f>558843+100000+52125+8616.36-199500+99600+99900</f>
    </nc>
  </rcc>
  <rcc rId="7859" sId="2">
    <oc r="H39">
      <f>D8+D13+D15+D19+D24+D29+D31+D33+D37</f>
    </oc>
    <nc r="H39"/>
  </rcc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Функцион2018!$23:$23,Функцион2018!$35:$36</oldFormula>
  </rdn>
  <rdn rId="0" localSheetId="1" customView="1" name="Z_4F39DA5C_9059_406E_9F89_B6E20F660542_.wvu.PrintArea" hidden="1" oldHidden="1">
    <formula>Вед2018!$A$1:$H$238</formula>
    <oldFormula>Вед2018!$A$1:$H$238</oldFormula>
  </rdn>
  <rdn rId="0" localSheetId="1" customView="1" name="Z_4F39DA5C_9059_406E_9F89_B6E20F660542_.wvu.FilterData" hidden="1" oldHidden="1">
    <formula>Вед2018!$E$1:$E$368</formula>
    <oldFormula>Вед2018!$E$1:$E$368</oldFormula>
  </rdn>
  <rcv guid="{4F39DA5C-9059-406E-9F89-B6E20F66054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7532" sId="1">
    <oc r="F3" t="inlineStr">
      <is>
        <t xml:space="preserve">№  219  от 28.02.2018 </t>
      </is>
    </oc>
    <nc r="F3" t="inlineStr">
      <is>
        <t xml:space="preserve">№  319  от 28.02.2018 </t>
      </is>
    </nc>
  </rcc>
  <rcc rId="7533" sId="2">
    <oc r="D3" t="inlineStr">
      <is>
        <t>№  219    от 28.02.2018</t>
      </is>
    </oc>
    <nc r="D3" t="inlineStr">
      <is>
        <t>№  319    от 28.02.2018</t>
      </is>
    </nc>
  </rcc>
  <rcv guid="{1D456867-ECB1-4D8E-874D-17CC7019B8E5}" action="delete"/>
  <rdn rId="0" localSheetId="1" customView="1" name="Z_1D456867_ECB1_4D8E_874D_17CC7019B8E5_.wvu.FilterData" hidden="1" oldHidden="1">
    <formula>Вед2018!$E$1:$E$347</formula>
    <oldFormula>Вед2018!$E$1:$E$347</oldFormula>
  </rdn>
  <rcv guid="{1D456867-ECB1-4D8E-874D-17CC7019B8E5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7529" sId="1">
    <oc r="F3" t="inlineStr">
      <is>
        <t xml:space="preserve">№    от 28.02.2018 </t>
      </is>
    </oc>
    <nc r="F3" t="inlineStr">
      <is>
        <t xml:space="preserve">№  219  от 28.02.2018 </t>
      </is>
    </nc>
  </rcc>
  <rcc rId="7530" sId="2">
    <oc r="D3" t="inlineStr">
      <is>
        <t>№      от 28.02.2018</t>
      </is>
    </oc>
    <nc r="D3" t="inlineStr">
      <is>
        <t>№  219    от 28.02.2018</t>
      </is>
    </nc>
  </rcc>
  <rdn rId="0" localSheetId="1" customView="1" name="Z_50CBCF93_2CCE_46AB_B05B_EAEB477D4633_.wvu.FilterData" hidden="1" oldHidden="1">
    <formula>Вед2018!$E$1:$E$347</formula>
  </rdn>
  <rcv guid="{50CBCF93-2CCE-46AB-B05B-EAEB477D4633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c rId="7464" sId="1">
    <oc r="F3" t="inlineStr">
      <is>
        <t xml:space="preserve">№ от 29.01.2018 </t>
      </is>
    </oc>
    <nc r="F3" t="inlineStr">
      <is>
        <t xml:space="preserve">№317 от 29.01.2018 </t>
      </is>
    </nc>
  </rcc>
  <rcc rId="7465" sId="2">
    <oc r="D3" t="inlineStr">
      <is>
        <t>№    от 29.01.2018</t>
      </is>
    </oc>
    <nc r="D3" t="inlineStr">
      <is>
        <t>№  317  от 29.01.2018</t>
      </is>
    </nc>
  </rcc>
  <rdn rId="0" localSheetId="1" customView="1" name="Z_1D456867_ECB1_4D8E_874D_17CC7019B8E5_.wvu.FilterData" hidden="1" oldHidden="1">
    <formula>Вед2018!$E$1:$E$343</formula>
  </rdn>
  <rcv guid="{1D456867-ECB1-4D8E-874D-17CC7019B8E5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8118" sId="1">
    <oc r="G94">
      <f>13950+5020</f>
    </oc>
    <nc r="G94">
      <f>13950</f>
    </nc>
  </rcc>
  <rrc rId="8119" sId="1" ref="A95:XFD95" action="insertRow">
    <undo index="0" exp="area" ref3D="1" dr="$A$214:$XFD$215" dn="Z_4F39DA5C_9059_406E_9F89_B6E20F660542_.wvu.Rows" sId="1"/>
  </rrc>
  <rcc rId="8120" sId="1">
    <nc r="A95" t="inlineStr">
      <is>
    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 (софинансирование)</t>
      </is>
    </nc>
  </rcc>
  <rcc rId="8121" sId="1" numFmtId="4">
    <nc r="B95">
      <v>650</v>
    </nc>
  </rcc>
  <rcc rId="8122" sId="1" numFmtId="4">
    <nc r="C95">
      <v>3</v>
    </nc>
  </rcc>
  <rcc rId="8123" sId="1" numFmtId="4">
    <nc r="D95">
      <v>14</v>
    </nc>
  </rcc>
  <rcc rId="8124" sId="1">
    <nc r="E95" t="inlineStr">
      <is>
        <t>01009S2300</t>
      </is>
    </nc>
  </rcc>
  <rcc rId="8125" sId="1" numFmtId="4">
    <nc r="F95">
      <v>123</v>
    </nc>
  </rcc>
  <rcc rId="8126" sId="1" numFmtId="4">
    <nc r="G95">
      <v>5020</v>
    </nc>
  </rcc>
  <rcc rId="8127" sId="1">
    <oc r="G90">
      <f>G91+G96</f>
    </oc>
    <nc r="G90">
      <f>G91+G96+G95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Вед2018!$A$1:$H$247</formula>
    <oldFormula>Вед2018!$A$1:$H$247</oldFormula>
  </rdn>
  <rdn rId="0" localSheetId="1" customView="1" name="Z_4F39DA5C_9059_406E_9F89_B6E20F660542_.wvu.Rows" hidden="1" oldHidden="1">
    <formula>Вед2018!$215:$216</formula>
    <oldFormula>Вед2018!$215:$216</oldFormula>
  </rdn>
  <rdn rId="0" localSheetId="1" customView="1" name="Z_4F39DA5C_9059_406E_9F89_B6E20F660542_.wvu.FilterData" hidden="1" oldHidden="1">
    <formula>Вед2018!$E$1:$E$377</formula>
    <oldFormula>Вед2018!$E$1:$E$377</oldFormula>
  </rdn>
  <rcv guid="{4F39DA5C-9059-406E-9F89-B6E20F660542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fmt sheetId="1" xfDxf="1" s="1" sqref="I20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8113" sId="1">
    <oc r="G205">
      <f>2023000+56600+76000+15000+13400+48279+130050+135985+16000+95101.41+2640+25000+1776+14000+124941.3+34628.89+5000+1672.88+30000+112000+18500-222</f>
    </oc>
    <nc r="G205">
      <f>2023000+56600+76000+15000+13400+48279+130050+135985+16000+97741.41+25000+124941.3+50182.89+5000+1672.88+30000+112000+18500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Вед2018!$A$1:$H$246</formula>
    <oldFormula>Вед2018!$A$1:$H$246</oldFormula>
  </rdn>
  <rdn rId="0" localSheetId="1" customView="1" name="Z_4F39DA5C_9059_406E_9F89_B6E20F660542_.wvu.Rows" hidden="1" oldHidden="1">
    <formula>Вед2018!$214:$215</formula>
    <oldFormula>Вед2018!$214:$215</oldFormula>
  </rdn>
  <rdn rId="0" localSheetId="1" customView="1" name="Z_4F39DA5C_9059_406E_9F89_B6E20F660542_.wvu.FilterData" hidden="1" oldHidden="1">
    <formula>Вед2018!$E$1:$E$376</formula>
    <oldFormula>Вед2018!$E$1:$E$376</oldFormula>
  </rdn>
  <rcv guid="{4F39DA5C-9059-406E-9F89-B6E20F660542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c rId="8096" sId="1">
    <oc r="G35">
      <f>291973+6146-3073+888</f>
    </oc>
    <nc r="G35">
      <f>291973+6146-3073</f>
    </nc>
  </rcc>
  <rcc rId="8097" sId="1">
    <oc r="G141">
      <f>6507500+2132500-1517679</f>
    </oc>
    <nc r="G141">
      <f>6507500+2132500-1517679+355086</f>
    </nc>
  </rcc>
  <rcc rId="8098" sId="1">
    <oc r="G144">
      <f>342500+617500-168631</f>
    </oc>
    <nc r="G144">
      <f>342500+617500-168631+39454</f>
    </nc>
  </rcc>
  <rcc rId="8099" sId="1">
    <oc r="G204">
      <f>2023000+56600+76000+15000+13400+48279+130050+135985+16000+95101.41+2640+25000+1776+14000+124941.3+34628.89+5000+1672.88+30000+112000+18500</f>
    </oc>
    <nc r="G204">
      <f>2023000+56600+76000+15000+13400+48279+130050+135985+16000+95101.41+2640+25000+1776+14000+124941.3+34628.89+5000+1672.88+30000+112000+18500-222</f>
    </nc>
  </rcc>
  <rrc rId="8100" sId="1" ref="A191:XFD191" action="insertRow">
    <undo index="0" exp="area" ref3D="1" dr="$A$213:$XFD$214" dn="Z_4F39DA5C_9059_406E_9F89_B6E20F660542_.wvu.Rows" sId="1"/>
  </rrc>
  <rcc rId="8101" sId="1">
    <nc r="A191" t="inlineStr">
      <is>
        <t>Иные межбюджетные трансферты</t>
      </is>
    </nc>
  </rcc>
  <rcc rId="8102" sId="1" numFmtId="4">
    <nc r="B191">
      <v>650</v>
    </nc>
  </rcc>
  <rcc rId="8103" sId="1" numFmtId="4">
    <nc r="C191">
      <v>7</v>
    </nc>
  </rcc>
  <rcc rId="8104" sId="1" numFmtId="4">
    <nc r="D191">
      <v>7</v>
    </nc>
  </rcc>
  <rcc rId="8105" sId="1">
    <nc r="E191" t="inlineStr">
      <is>
        <t>0700100540</t>
      </is>
    </nc>
  </rcc>
  <rcc rId="8106" sId="1" numFmtId="4">
    <nc r="F191">
      <v>540</v>
    </nc>
  </rcc>
  <rcc rId="8107" sId="1" numFmtId="4">
    <nc r="G191">
      <v>1110</v>
    </nc>
  </rcc>
  <rcc rId="8108" sId="1">
    <oc r="G180">
      <f>G183+G186+G189+G190</f>
    </oc>
    <nc r="G180">
      <f>G183+G186+G189+G190+G191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Вед2018!$A$1:$H$246</formula>
    <oldFormula>Вед2018!$A$1:$H$246</oldFormula>
  </rdn>
  <rdn rId="0" localSheetId="1" customView="1" name="Z_4F39DA5C_9059_406E_9F89_B6E20F660542_.wvu.Rows" hidden="1" oldHidden="1">
    <formula>Вед2018!$214:$215</formula>
    <oldFormula>Вед2018!$214:$215</oldFormula>
  </rdn>
  <rdn rId="0" localSheetId="1" customView="1" name="Z_4F39DA5C_9059_406E_9F89_B6E20F660542_.wvu.FilterData" hidden="1" oldHidden="1">
    <formula>Вед2018!$E$1:$E$376</formula>
    <oldFormula>Вед2018!$E$1:$E$376</oldFormula>
  </rdn>
  <rcv guid="{4F39DA5C-9059-406E-9F89-B6E20F660542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c rId="8051" sId="1">
    <oc r="F3" t="inlineStr">
      <is>
        <t>№     от 31.08.2018г.</t>
      </is>
    </oc>
    <nc r="F3" t="inlineStr">
      <is>
        <t>№     от 29.11.2018г.</t>
      </is>
    </nc>
  </rcc>
  <rcv guid="{1D456867-ECB1-4D8E-874D-17CC7019B8E5}" action="delete"/>
  <rdn rId="0" localSheetId="1" customView="1" name="Z_1D456867_ECB1_4D8E_874D_17CC7019B8E5_.wvu.FilterData" hidden="1" oldHidden="1">
    <formula>Вед2018!$E$1:$E$373</formula>
    <oldFormula>Вед2018!$E$1:$E$373</oldFormula>
  </rdn>
  <rcv guid="{1D456867-ECB1-4D8E-874D-17CC7019B8E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026" sId="1">
    <oc r="G196">
      <f>9841500+307995.25-373155.354-634000</f>
    </oc>
    <nc r="G196">
      <f>9841500+307995.25-373155.354</f>
    </nc>
  </rcc>
  <rcc rId="8027" sId="1">
    <oc r="G227">
      <f>377640+166393.51</f>
    </oc>
    <nc r="G227">
      <f>377640+166393.51-487323.09</f>
    </nc>
  </rcc>
  <rcc rId="8028" sId="1">
    <oc r="G228">
      <f>114050+50250.83</f>
    </oc>
    <nc r="G228">
      <f>114050+50250.83-147174.28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8" sId="1">
    <oc r="F3" t="inlineStr">
      <is>
        <t xml:space="preserve">№ 322  от 30.03.2018 </t>
      </is>
    </oc>
    <nc r="F3" t="inlineStr">
      <is>
        <t xml:space="preserve">№ </t>
      </is>
    </nc>
  </rcc>
  <rcc rId="7549" sId="1">
    <oc r="G97">
      <f>779500+22292</f>
    </oc>
    <nc r="G97">
      <f>779500+22292+66816</f>
    </nc>
  </rcc>
  <rrc rId="7550" sId="1" ref="A166:XFD168" action="insertRow"/>
  <rcc rId="7551" sId="1">
    <nc r="A166" t="inlineStr">
      <is>
        <t>Расходы на выплату персоналу казенных учреждений</t>
      </is>
    </nc>
  </rcc>
  <rcc rId="7552" sId="1" numFmtId="4">
    <nc r="B166">
      <v>650</v>
    </nc>
  </rcc>
  <rcc rId="7553" sId="1" numFmtId="4">
    <nc r="C166">
      <v>7</v>
    </nc>
  </rcc>
  <rcc rId="7554" sId="1" numFmtId="4">
    <nc r="D166">
      <v>7</v>
    </nc>
  </rcc>
  <rcc rId="7555" sId="1">
    <nc r="E166" t="inlineStr">
      <is>
        <t>0520100590</t>
      </is>
    </nc>
  </rcc>
  <rcc rId="7556" sId="1" numFmtId="4">
    <nc r="F166">
      <v>110</v>
    </nc>
  </rcc>
  <rcc rId="7557" sId="1">
    <nc r="G166">
      <f>G167+G168</f>
    </nc>
  </rcc>
  <rcc rId="7558" sId="1">
    <nc r="A167" t="inlineStr">
      <is>
        <t>Фонд оплаты труда казенных учреждений.</t>
      </is>
    </nc>
  </rcc>
  <rcc rId="7559" sId="1" numFmtId="4">
    <nc r="B167">
      <v>650</v>
    </nc>
  </rcc>
  <rcc rId="7560" sId="1" numFmtId="4">
    <nc r="C167">
      <v>7</v>
    </nc>
  </rcc>
  <rcc rId="7561" sId="1" numFmtId="4">
    <nc r="D167">
      <v>7</v>
    </nc>
  </rcc>
  <rcc rId="7562" sId="1">
    <nc r="E167" t="inlineStr">
      <is>
        <t>0520100590</t>
      </is>
    </nc>
  </rcc>
  <rcc rId="7563" sId="1" numFmtId="4">
    <nc r="F167">
      <v>111</v>
    </nc>
  </rcc>
  <rcc rId="7564" sId="1" numFmtId="4">
    <nc r="G167">
      <v>255000</v>
    </nc>
  </rcc>
  <rfmt sheetId="1" sqref="H167" start="0" length="0">
    <dxf>
      <protection hidden="1"/>
    </dxf>
  </rfmt>
  <rcc rId="7565" sId="1">
    <nc r="A168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7566" sId="1" numFmtId="4">
    <nc r="B168">
      <v>650</v>
    </nc>
  </rcc>
  <rcc rId="7567" sId="1" numFmtId="4">
    <nc r="C168">
      <v>7</v>
    </nc>
  </rcc>
  <rcc rId="7568" sId="1" numFmtId="4">
    <nc r="D168">
      <v>7</v>
    </nc>
  </rcc>
  <rcc rId="7569" sId="1">
    <nc r="E168" t="inlineStr">
      <is>
        <t>0520100590</t>
      </is>
    </nc>
  </rcc>
  <rcc rId="7570" sId="1" numFmtId="4">
    <nc r="F168">
      <v>119</v>
    </nc>
  </rcc>
  <rcc rId="7571" sId="1" numFmtId="4">
    <nc r="G168">
      <v>77000</v>
    </nc>
  </rcc>
  <rfmt sheetId="1" sqref="H168" start="0" length="0">
    <dxf>
      <protection hidden="1"/>
    </dxf>
  </rfmt>
  <rcc rId="7572" sId="1">
    <oc r="E169" t="inlineStr">
      <is>
        <t>0520100590</t>
      </is>
    </oc>
    <nc r="E169" t="inlineStr">
      <is>
        <t>0520185150</t>
      </is>
    </nc>
  </rcc>
  <rcc rId="7573" sId="1">
    <oc r="E170" t="inlineStr">
      <is>
        <t>0520100590</t>
      </is>
    </oc>
    <nc r="E170" t="inlineStr">
      <is>
        <t>0520185150</t>
      </is>
    </nc>
  </rcc>
  <rcc rId="7574" sId="1">
    <oc r="E171" t="inlineStr">
      <is>
        <t>0520100590</t>
      </is>
    </oc>
    <nc r="E171" t="inlineStr">
      <is>
        <t>0520185150</t>
      </is>
    </nc>
  </rcc>
  <rcc rId="7575" sId="1" numFmtId="4">
    <oc r="G170">
      <v>255000</v>
    </oc>
    <nc r="G170">
      <v>58210.45</v>
    </nc>
  </rcc>
  <rcc rId="7576" sId="1" numFmtId="4">
    <oc r="G171">
      <v>77000</v>
    </oc>
    <nc r="G171">
      <v>17579.55</v>
    </nc>
  </rcc>
  <rcc rId="7577" sId="1">
    <oc r="G163">
      <f>G165</f>
    </oc>
    <nc r="G163">
      <f>G166+G169</f>
    </nc>
  </rcc>
  <rcc rId="7578" sId="1">
    <oc r="G165">
      <f>G169</f>
    </oc>
    <nc r="G165">
      <f>G166</f>
    </nc>
  </rcc>
  <rcc rId="7579" sId="1">
    <oc r="G164">
      <f>G165</f>
    </oc>
    <nc r="G164">
      <f>G166+G169</f>
    </nc>
  </rcc>
  <rrc rId="7580" sId="1" ref="A152:XFD154" action="insertRow"/>
  <rrc rId="7581" sId="1" ref="A152:XFD154" action="insertRow"/>
  <rcc rId="7582" sId="1" odxf="1" dxf="1">
    <nc r="A152" t="inlineStr">
      <is>
        <t>Закупка товаров, работ и услуг для обеспечения государственных (муниципальных) 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583" sId="1" odxf="1" dxf="1" numFmtId="4">
    <nc r="B152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84" sId="1" odxf="1" dxf="1" numFmtId="4">
    <nc r="C152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85" sId="1" odxf="1" dxf="1">
    <nc r="D152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586" sId="1">
    <nc r="E152" t="inlineStr">
      <is>
        <t>0240176500</t>
      </is>
    </nc>
  </rcc>
  <rcc rId="7587" sId="1" odxf="1" dxf="1" numFmtId="4">
    <nc r="F152">
      <v>200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88" sId="1" odxf="1" dxf="1">
    <nc r="G152">
      <f>G153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52" start="0" length="0">
    <dxf>
      <font>
        <name val="Times New Roman CYR"/>
        <scheme val="none"/>
      </font>
    </dxf>
  </rfmt>
  <rcc rId="7589" sId="1" odxf="1" dxf="1">
    <nc r="A153" t="inlineStr">
      <is>
        <t>Иные закупки товаров,работ и услуг для обеспечения государственных(муниципальных )нужд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590" sId="1" odxf="1" dxf="1" numFmtId="4">
    <nc r="B153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91" sId="1" odxf="1" dxf="1" numFmtId="4">
    <nc r="C153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92" sId="1" odxf="1" dxf="1">
    <nc r="D153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593" sId="1">
    <nc r="E153" t="inlineStr">
      <is>
        <t>0240176500</t>
      </is>
    </nc>
  </rcc>
  <rcc rId="7594" sId="1" odxf="1" dxf="1" numFmtId="4">
    <nc r="F153">
      <v>240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95" sId="1" odxf="1" dxf="1">
    <nc r="G153">
      <f>G154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53" start="0" length="0">
    <dxf>
      <font>
        <name val="Times New Roman CYR"/>
        <scheme val="none"/>
      </font>
    </dxf>
  </rfmt>
  <rcc rId="7596" sId="1" odxf="1" dxf="1">
    <nc r="A154" t="inlineStr">
      <is>
        <t>Прочая закупка товаров,работ и услуг для обеспечения государственных(муниципальных )нужд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597" sId="1" odxf="1" dxf="1" numFmtId="4">
    <nc r="B154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98" sId="1" odxf="1" dxf="1" numFmtId="4">
    <nc r="C154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7599" sId="1" odxf="1" dxf="1">
    <nc r="D154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00" sId="1">
    <nc r="E154" t="inlineStr">
      <is>
        <t>0240176500</t>
      </is>
    </nc>
  </rcc>
  <rcc rId="7601" sId="1" odxf="1" dxf="1" numFmtId="4">
    <nc r="F154">
      <v>244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02" sId="1" odxf="1" dxf="1">
    <nc r="G154">
      <f>558843+100000+52125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54" start="0" length="0">
    <dxf>
      <font>
        <name val="Times New Roman CYR"/>
        <scheme val="none"/>
      </font>
    </dxf>
  </rfmt>
  <rcc rId="7603" sId="1" odxf="1" dxf="1">
    <nc r="A155" t="inlineStr">
      <is>
        <t>Закупка товаров, работ и услуг для обеспечения государственных (муниципальных) 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04" sId="1" odxf="1" dxf="1" numFmtId="4">
    <nc r="B155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05" sId="1" odxf="1" dxf="1" numFmtId="4">
    <nc r="C155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06" sId="1" odxf="1" dxf="1">
    <nc r="D155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07" sId="1" odxf="1" dxf="1" numFmtId="4">
    <nc r="F155">
      <v>200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08" sId="1" odxf="1" dxf="1">
    <nc r="G155">
      <f>G156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55" start="0" length="0">
    <dxf>
      <font>
        <name val="Times New Roman CYR"/>
        <scheme val="none"/>
      </font>
    </dxf>
  </rfmt>
  <rcc rId="7609" sId="1" odxf="1" dxf="1">
    <nc r="A156" t="inlineStr">
      <is>
        <t>Иные закупки товаров,работ и услуг для обеспечения государственных(муниципальных )нужд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10" sId="1" odxf="1" dxf="1" numFmtId="4">
    <nc r="B156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11" sId="1" odxf="1" dxf="1" numFmtId="4">
    <nc r="C156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12" sId="1" odxf="1" dxf="1">
    <nc r="D156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13" sId="1" odxf="1" dxf="1" numFmtId="4">
    <nc r="F156">
      <v>240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14" sId="1" odxf="1" dxf="1">
    <nc r="G156">
      <f>G157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56" start="0" length="0">
    <dxf>
      <font>
        <name val="Times New Roman CYR"/>
        <scheme val="none"/>
      </font>
    </dxf>
  </rfmt>
  <rfmt sheetId="1" sqref="A157" start="0" length="0">
    <dxf>
      <font>
        <name val="Times New Roman CYR"/>
        <scheme val="none"/>
      </font>
    </dxf>
  </rfmt>
  <rcc rId="7615" sId="1" odxf="1" dxf="1" numFmtId="4">
    <nc r="B157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16" sId="1" odxf="1" dxf="1" numFmtId="4">
    <nc r="C157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17" sId="1" odxf="1" dxf="1">
    <nc r="D157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18" sId="1" odxf="1" dxf="1" numFmtId="4">
    <nc r="F157">
      <v>244</v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G157" start="0" length="0">
    <dxf>
      <font>
        <name val="Times New Roman CYR"/>
        <scheme val="none"/>
      </font>
    </dxf>
  </rfmt>
  <rfmt sheetId="1" sqref="H157" start="0" length="0">
    <dxf>
      <font>
        <name val="Times New Roman CYR"/>
        <scheme val="none"/>
      </font>
    </dxf>
  </rfmt>
  <rcc rId="7619" sId="1">
    <oc r="G151">
      <f>G158</f>
    </oc>
    <nc r="G151">
      <f>G152</f>
    </nc>
  </rcc>
  <rcc rId="7620" sId="1">
    <nc r="E155" t="inlineStr">
      <is>
        <t>02401R5550</t>
      </is>
    </nc>
  </rcc>
  <rcc rId="7621" sId="1">
    <nc r="E156" t="inlineStr">
      <is>
        <t>02401R5550</t>
      </is>
    </nc>
  </rcc>
  <rcc rId="7622" sId="1">
    <nc r="E157" t="inlineStr">
      <is>
        <t>02401R5550</t>
      </is>
    </nc>
  </rcc>
  <rrc rId="7623" sId="1" ref="A155:XFD157" action="insertRow"/>
  <rcc rId="7624" sId="1">
    <nc r="A155" t="inlineStr">
      <is>
        <t>Закупка товаров, работ и услуг для обеспечения государственных (муниципальных) нужд</t>
      </is>
    </nc>
  </rcc>
  <rcc rId="7625" sId="1" numFmtId="4">
    <nc r="B155">
      <v>650</v>
    </nc>
  </rcc>
  <rcc rId="7626" sId="1" numFmtId="4">
    <nc r="C155">
      <v>5</v>
    </nc>
  </rcc>
  <rcc rId="7627" sId="1">
    <nc r="D155" t="inlineStr">
      <is>
        <t>03</t>
      </is>
    </nc>
  </rcc>
  <rcc rId="7628" sId="1">
    <nc r="E155" t="inlineStr">
      <is>
        <t>02401R5550</t>
      </is>
    </nc>
  </rcc>
  <rcc rId="7629" sId="1" numFmtId="4">
    <nc r="F155">
      <v>200</v>
    </nc>
  </rcc>
  <rcc rId="7630" sId="1">
    <nc r="G155">
      <f>G156</f>
    </nc>
  </rcc>
  <rcc rId="7631" sId="1">
    <nc r="A156" t="inlineStr">
      <is>
        <t>Иные закупки товаров,работ и услуг для обеспечения государственных(муниципальных )нужд</t>
      </is>
    </nc>
  </rcc>
  <rcc rId="7632" sId="1" numFmtId="4">
    <nc r="B156">
      <v>650</v>
    </nc>
  </rcc>
  <rcc rId="7633" sId="1" numFmtId="4">
    <nc r="C156">
      <v>5</v>
    </nc>
  </rcc>
  <rcc rId="7634" sId="1">
    <nc r="D156" t="inlineStr">
      <is>
        <t>03</t>
      </is>
    </nc>
  </rcc>
  <rcc rId="7635" sId="1">
    <nc r="E156" t="inlineStr">
      <is>
        <t>02401R5550</t>
      </is>
    </nc>
  </rcc>
  <rcc rId="7636" sId="1" numFmtId="4">
    <nc r="F156">
      <v>240</v>
    </nc>
  </rcc>
  <rcc rId="7637" sId="1">
    <nc r="G156">
      <f>G157</f>
    </nc>
  </rcc>
  <rcc rId="7638" sId="1">
    <nc r="A157" t="inlineStr">
      <is>
        <t>Прочая закупка товаров,работ и услуг для обеспечения государственных(муниципальных )нужд (федеральные средства)</t>
      </is>
    </nc>
  </rcc>
  <rcc rId="7639" sId="1" numFmtId="4">
    <nc r="B157">
      <v>650</v>
    </nc>
  </rcc>
  <rcc rId="7640" sId="1" numFmtId="4">
    <nc r="C157">
      <v>5</v>
    </nc>
  </rcc>
  <rcc rId="7641" sId="1">
    <nc r="D157" t="inlineStr">
      <is>
        <t>03</t>
      </is>
    </nc>
  </rcc>
  <rcc rId="7642" sId="1">
    <nc r="E157" t="inlineStr">
      <is>
        <t>02401R5550</t>
      </is>
    </nc>
  </rcc>
  <rcc rId="7643" sId="1" numFmtId="4">
    <nc r="F157">
      <v>244</v>
    </nc>
  </rcc>
  <rcc rId="7644" sId="1" numFmtId="4">
    <nc r="G157">
      <v>847800</v>
    </nc>
  </rcc>
  <rcc rId="7645" sId="1">
    <oc r="G150">
      <f>G158</f>
    </oc>
    <nc r="G150">
      <f>G161+G158+G152+G155</f>
    </nc>
  </rcc>
  <rcc rId="7646" sId="1">
    <nc r="A160" t="inlineStr">
      <is>
        <t>Прочая закупка товаров,работ и услуг для обеспечения государственных(муниципальных )нужд (окружные средства)</t>
      </is>
    </nc>
  </rcc>
  <rcc rId="7647" sId="1" numFmtId="4">
    <nc r="G160">
      <v>1978200</v>
    </nc>
  </rcc>
  <rcc rId="7648" sId="1">
    <oc r="E161" t="inlineStr">
      <is>
        <t>0240176500</t>
      </is>
    </oc>
    <nc r="E161" t="inlineStr">
      <is>
        <t>02401L5550</t>
      </is>
    </nc>
  </rcc>
  <rcc rId="7649" sId="1">
    <oc r="E162" t="inlineStr">
      <is>
        <t>0240176500</t>
      </is>
    </oc>
    <nc r="E162" t="inlineStr">
      <is>
        <t>02401L5550</t>
      </is>
    </nc>
  </rcc>
  <rcc rId="7650" sId="1">
    <oc r="E163" t="inlineStr">
      <is>
        <t>0240176500</t>
      </is>
    </oc>
    <nc r="E163" t="inlineStr">
      <is>
        <t>02401L5550</t>
      </is>
    </nc>
  </rcc>
  <rcc rId="7651" sId="1">
    <oc r="A163" t="inlineStr">
      <is>
        <t>Прочая закупка товаров,работ и услуг для обеспечения государственных(муниципальных )нужд</t>
      </is>
    </oc>
    <nc r="A163" t="inlineStr">
      <is>
        <t>Прочая закупка товаров,работ и услуг для обеспечения государственных(муниципальных )нужд (местный бюджет)</t>
      </is>
    </nc>
  </rcc>
  <rcc rId="7652" sId="1">
    <oc r="G149">
      <f>G162</f>
    </oc>
    <nc r="G149">
      <f>G150</f>
    </nc>
  </rcc>
  <rcc rId="7653" sId="1" numFmtId="4">
    <oc r="G132">
      <v>6507500</v>
    </oc>
    <nc r="G132">
      <f>6507500+2132500</f>
    </nc>
  </rcc>
  <rcc rId="7654" sId="1" numFmtId="4">
    <oc r="G135">
      <v>342500</v>
    </oc>
    <nc r="G135">
      <f>342500+617500</f>
    </nc>
  </rcc>
  <rcc rId="7655" sId="1">
    <oc r="G46">
      <f>837700+120485.85+39150+17000</f>
    </oc>
    <nc r="G46">
      <f>837700+120485.85+39150+17000+6000</f>
    </nc>
  </rcc>
  <rrc rId="7656" sId="1" ref="A199:XFD201" action="insertRow"/>
  <rcc rId="7657" sId="1">
    <nc r="A199" t="inlineStr">
      <is>
        <t>Закупка товаров, работ и услуг для обеспечения государственных (муниципальных) нужд</t>
      </is>
    </nc>
  </rcc>
  <rcc rId="7658" sId="1" numFmtId="4">
    <nc r="B199">
      <v>650</v>
    </nc>
  </rcc>
  <rcc rId="7659" sId="1" numFmtId="4">
    <nc r="C199">
      <v>8</v>
    </nc>
  </rcc>
  <rcc rId="7660" sId="1" numFmtId="4">
    <nc r="D199">
      <v>1</v>
    </nc>
  </rcc>
  <rcc rId="7661" sId="1" numFmtId="4">
    <nc r="F199">
      <v>200</v>
    </nc>
  </rcc>
  <rcc rId="7662" sId="1">
    <nc r="G199">
      <f>G200</f>
    </nc>
  </rcc>
  <rcc rId="7663" sId="1">
    <nc r="A200" t="inlineStr">
      <is>
        <t>Иные закупки товаров,работ и услуг для обеспечения государственных(муниципальных )нужд</t>
      </is>
    </nc>
  </rcc>
  <rcc rId="7664" sId="1" numFmtId="4">
    <nc r="B200">
      <v>650</v>
    </nc>
  </rcc>
  <rcc rId="7665" sId="1" numFmtId="4">
    <nc r="C200">
      <v>8</v>
    </nc>
  </rcc>
  <rcc rId="7666" sId="1" numFmtId="4">
    <nc r="D200">
      <v>1</v>
    </nc>
  </rcc>
  <rcc rId="7667" sId="1" numFmtId="4">
    <nc r="F200">
      <v>240</v>
    </nc>
  </rcc>
  <rcc rId="7668" sId="1">
    <nc r="G200">
      <f>G201</f>
    </nc>
  </rcc>
  <rcc rId="7669" sId="1">
    <nc r="A201" t="inlineStr">
      <is>
        <t>Прочая закупка товаров,работ и услуг для обеспечения государственных(муниципальных )нужд</t>
      </is>
    </nc>
  </rcc>
  <rcc rId="7670" sId="1" numFmtId="4">
    <nc r="B201">
      <v>650</v>
    </nc>
  </rcc>
  <rcc rId="7671" sId="1" numFmtId="4">
    <nc r="C201">
      <v>8</v>
    </nc>
  </rcc>
  <rcc rId="7672" sId="1" numFmtId="4">
    <nc r="D201">
      <v>1</v>
    </nc>
  </rcc>
  <rcc rId="7673" sId="1" numFmtId="4">
    <nc r="F201">
      <v>244</v>
    </nc>
  </rcc>
  <rcc rId="7674" sId="1">
    <nc r="E199" t="inlineStr">
      <is>
        <t>0510170050</t>
      </is>
    </nc>
  </rcc>
  <rcc rId="7675" sId="1">
    <nc r="E200" t="inlineStr">
      <is>
        <t>0510170050</t>
      </is>
    </nc>
  </rcc>
  <rcc rId="7676" sId="1">
    <nc r="E201" t="inlineStr">
      <is>
        <t>0510170050</t>
      </is>
    </nc>
  </rcc>
  <rcc rId="7677" sId="1">
    <oc r="G185">
      <f>G186+G191+G195</f>
    </oc>
    <nc r="G185">
      <f>G186+G191+G195+G199</f>
    </nc>
  </rcc>
  <rcc rId="7678" sId="1" numFmtId="4">
    <nc r="G201">
      <v>20000</v>
    </nc>
  </rcc>
  <rcc rId="7679" sId="1">
    <oc r="G31">
      <v>291973</v>
    </oc>
    <nc r="G31">
      <f>291973+6146-3073</f>
    </nc>
  </rcc>
  <rcc rId="7680" sId="1" numFmtId="4">
    <oc r="G168">
      <v>338074</v>
    </oc>
    <nc r="G168">
      <f>338074+3073</f>
    </nc>
  </rcc>
  <rcc rId="7681" sId="1">
    <oc r="G117">
      <f>280500-39150</f>
    </oc>
    <nc r="G117">
      <f>280500-39150-23000</f>
    </nc>
  </rcc>
  <rcc rId="7682" sId="1" numFmtId="4">
    <oc r="G232">
      <v>5000</v>
    </oc>
    <nc r="G232">
      <f>5000+23000</f>
    </nc>
  </rcc>
  <rcc rId="7683" sId="1">
    <oc r="G190">
      <f>2851000+93014.56</f>
    </oc>
    <nc r="G190">
      <f>2851000+93014.56-177000</f>
    </nc>
  </rcc>
  <rcc rId="7684" sId="1">
    <oc r="G193">
      <f>263400-56600+30000</f>
    </oc>
    <nc r="G193">
      <f>263400-56600+30000+46950</f>
    </nc>
  </rcc>
  <rcc rId="7685" sId="1">
    <oc r="G194">
      <f>2023000+56600+76000+15000+13400+48279</f>
    </oc>
    <nc r="G194">
      <f>2023000+56600+76000+15000+13400+48279+130050</f>
    </nc>
  </rcc>
  <rrc rId="7686" sId="1" ref="A26:XFD29" action="insertRow"/>
  <rcc rId="7687" sId="1">
    <nc r="A26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nc>
  </rcc>
  <rcc rId="7688" sId="1" numFmtId="4">
    <nc r="B26">
      <v>650</v>
    </nc>
  </rcc>
  <rcc rId="7689" sId="1" numFmtId="4">
    <nc r="C26">
      <v>1</v>
    </nc>
  </rcc>
  <rcc rId="7690" sId="1" numFmtId="4">
    <nc r="D26">
      <v>4</v>
    </nc>
  </rcc>
  <rcc rId="7691" sId="1" numFmtId="4">
    <nc r="F26">
      <v>100</v>
    </nc>
  </rcc>
  <rcc rId="7692" sId="1">
    <nc r="G26">
      <f>G27</f>
    </nc>
  </rcc>
  <rcc rId="7693" sId="1">
    <nc r="A27" t="inlineStr">
      <is>
        <t>Расходы на выплаты персоналу государственных(муниципальных) органов</t>
      </is>
    </nc>
  </rcc>
  <rcc rId="7694" sId="1" numFmtId="4">
    <nc r="B27">
      <v>650</v>
    </nc>
  </rcc>
  <rcc rId="7695" sId="1" numFmtId="4">
    <nc r="C27">
      <v>1</v>
    </nc>
  </rcc>
  <rcc rId="7696" sId="1" numFmtId="4">
    <nc r="D27">
      <v>4</v>
    </nc>
  </rcc>
  <rcc rId="7697" sId="1" numFmtId="4">
    <nc r="F27">
      <v>120</v>
    </nc>
  </rcc>
  <rcc rId="7698" sId="1" odxf="1" dxf="1">
    <nc r="G27">
      <f>G28+G29</f>
    </nc>
    <odxf>
      <font>
        <b/>
        <i/>
        <name val="Times New Roman Cyr"/>
        <scheme val="none"/>
      </font>
    </odxf>
    <ndxf>
      <font>
        <b val="0"/>
        <i val="0"/>
        <name val="Times New Roman Cyr"/>
        <scheme val="none"/>
      </font>
    </ndxf>
  </rcc>
  <rfmt sheetId="1" sqref="H27" start="0" length="0">
    <dxf>
      <font>
        <name val="Times New Roman Cyr"/>
        <scheme val="none"/>
      </font>
    </dxf>
  </rfmt>
  <rcc rId="7699" sId="1">
    <nc r="A28" t="inlineStr">
      <is>
        <t>Фонд оплаты труда государственных(муниципальных) органов.</t>
      </is>
    </nc>
  </rcc>
  <rcc rId="7700" sId="1" numFmtId="4">
    <nc r="B28">
      <v>650</v>
    </nc>
  </rcc>
  <rcc rId="7701" sId="1" numFmtId="4">
    <nc r="C28">
      <v>1</v>
    </nc>
  </rcc>
  <rcc rId="7702" sId="1" numFmtId="4">
    <nc r="D28">
      <v>4</v>
    </nc>
  </rcc>
  <rcc rId="7703" sId="1" numFmtId="4">
    <nc r="F28">
      <v>121</v>
    </nc>
  </rcc>
  <rfmt sheetId="1" sqref="G28" start="0" length="0">
    <dxf>
      <font>
        <b val="0"/>
        <i val="0"/>
        <name val="Times New Roman Cyr"/>
        <scheme val="none"/>
      </font>
    </dxf>
  </rfmt>
  <rfmt sheetId="1" sqref="H28" start="0" length="0">
    <dxf>
      <font>
        <name val="Times New Roman Cyr"/>
        <scheme val="none"/>
      </font>
    </dxf>
  </rfmt>
  <rcc rId="7704" sId="1">
    <nc r="A29" t="inlineStr">
      <is>
  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  </is>
    </nc>
  </rcc>
  <rcc rId="7705" sId="1" numFmtId="4">
    <nc r="B29">
      <v>650</v>
    </nc>
  </rcc>
  <rcc rId="7706" sId="1" numFmtId="4">
    <nc r="C29">
      <v>1</v>
    </nc>
  </rcc>
  <rcc rId="7707" sId="1" numFmtId="4">
    <nc r="D29">
      <v>4</v>
    </nc>
  </rcc>
  <rcc rId="7708" sId="1" numFmtId="4">
    <nc r="F29">
      <v>129</v>
    </nc>
  </rcc>
  <rfmt sheetId="1" sqref="G29" start="0" length="0">
    <dxf>
      <font>
        <b val="0"/>
        <i val="0"/>
        <name val="Times New Roman Cyr"/>
        <scheme val="none"/>
      </font>
    </dxf>
  </rfmt>
  <rfmt sheetId="1" sqref="H29" start="0" length="0">
    <dxf>
      <font>
        <name val="Times New Roman Cyr"/>
        <scheme val="none"/>
      </font>
    </dxf>
  </rfmt>
  <rcc rId="7709" sId="1">
    <oc r="G24">
      <f>G25</f>
    </oc>
    <nc r="G24">
      <f>G25+G26</f>
    </nc>
  </rcc>
  <rcc rId="7710" sId="1">
    <nc r="E26" t="inlineStr">
      <is>
        <t>0700185150</t>
      </is>
    </nc>
  </rcc>
  <rcc rId="7711" sId="1">
    <nc r="E27" t="inlineStr">
      <is>
        <t>0700185150</t>
      </is>
    </nc>
  </rcc>
  <rcc rId="7712" sId="1">
    <nc r="E28" t="inlineStr">
      <is>
        <t>0700185150</t>
      </is>
    </nc>
  </rcc>
  <rcc rId="7713" sId="1">
    <nc r="E29" t="inlineStr">
      <is>
        <t>0700185150</t>
      </is>
    </nc>
  </rcc>
  <rcc rId="7714" sId="1" numFmtId="4">
    <nc r="G29">
      <v>115975</v>
    </nc>
  </rcc>
  <rcc rId="7715" sId="1" numFmtId="4">
    <nc r="G28">
      <v>384025</v>
    </nc>
  </rcc>
  <rcc rId="7716" sId="1">
    <oc r="G32">
      <f>5956500+290993.89</f>
    </oc>
    <nc r="G32">
      <f>5956500+290993.89+142300</f>
    </nc>
  </rcc>
  <rcc rId="7717" sId="1">
    <oc r="G33">
      <f>1798900+87880.15</f>
    </oc>
    <nc r="G33">
      <f>1798900+87880.15+42960</f>
    </nc>
  </rcc>
  <rcc rId="7718" sId="1">
    <oc r="G23">
      <f>G25</f>
    </oc>
    <nc r="G23">
      <f>G24</f>
    </nc>
  </rcc>
  <rcc rId="7719" sId="1">
    <oc r="G111">
      <f>2522500+54325.99</f>
    </oc>
    <nc r="G111">
      <f>2522500+54325.99-15960+15960+400000</f>
    </nc>
  </rcc>
  <rcc rId="7720" sId="1" numFmtId="4">
    <oc r="G167">
      <f>558843+100000+52125</f>
    </oc>
    <nc r="G167">
      <v>314100</v>
    </nc>
  </rcc>
  <rcc rId="7721" sId="2">
    <oc r="D3" t="inlineStr">
      <is>
        <t>№ 322  от 30.03.2018</t>
      </is>
    </oc>
    <nc r="D3" t="inlineStr">
      <is>
        <t xml:space="preserve">№ 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22" sId="1">
    <oc r="G111">
      <f>2522500+54325.99-15960+15960+400000</f>
    </oc>
    <nc r="G111">
      <f>2522500+54325.99-15960+15960+585260</f>
    </nc>
  </rcc>
  <rcc rId="7723" sId="1" numFmtId="4">
    <oc r="G216">
      <v>3398800</v>
    </oc>
    <nc r="G216">
      <f>3398800+1497549.21</f>
    </nc>
  </rcc>
  <rcc rId="7724" sId="1" numFmtId="4">
    <oc r="G217">
      <v>1026400</v>
    </oc>
    <nc r="G217">
      <f>1026400+452259.87</f>
    </nc>
  </rcc>
  <rcc rId="7725" sId="1">
    <oc r="G32">
      <f>5956500+290993.89+142300</f>
    </oc>
    <nc r="G32">
      <f>5956500+290993.89</f>
    </nc>
  </rcc>
  <rcc rId="7726" sId="1">
    <oc r="G33">
      <f>1798900+87880.15+42960</f>
    </oc>
    <nc r="G33">
      <f>1798900+87880.15</f>
    </nc>
  </rcc>
  <rcc rId="7727" sId="2">
    <oc r="D3" t="inlineStr">
      <is>
        <t xml:space="preserve">№ </t>
      </is>
    </oc>
    <nc r="D3" t="inlineStr">
      <is>
        <t>№     от 29.06.2018г.</t>
      </is>
    </nc>
  </rcc>
  <rcc rId="7728" sId="1">
    <oc r="F3" t="inlineStr">
      <is>
        <t xml:space="preserve">№ </t>
      </is>
    </oc>
    <nc r="F3" t="inlineStr">
      <is>
        <t>№    от 29.06.2018г.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7990" sId="1">
    <oc r="G21">
      <f>323800+51056.13</f>
    </oc>
    <nc r="G21">
      <f>323800+51056.13-25905.46</f>
    </nc>
  </rcc>
  <rcc rId="7991" sId="1">
    <oc r="G196">
      <f>9841500+307995.25-583492.94</f>
    </oc>
    <nc r="G196">
      <f>9841500+307995.25-583492.94-634000</f>
    </nc>
  </rcc>
  <rcc rId="7992" sId="1">
    <oc r="G110">
      <f>705400+200000+44624.14</f>
    </oc>
    <nc r="G110">
      <f>705400+200000+44624.14+149600</f>
    </nc>
  </rcc>
  <rcc rId="7993" sId="1">
    <oc r="G33">
      <f>1798900+87880.15-216644.34</f>
    </oc>
    <nc r="G33">
      <f>1798900+87880.15-216644.34+155000</f>
    </nc>
  </rcc>
  <rcc rId="7994" sId="1">
    <oc r="G20">
      <f>1072200+169060.02</f>
    </oc>
    <nc r="G20">
      <f>1072200+169060.02+25905.46+46669.73</f>
    </nc>
  </rcc>
  <rcc rId="7995" sId="1">
    <oc r="G126">
      <f>280500-39150-23000+9100+85130</f>
    </oc>
    <nc r="G126">
      <f>280500-39150-23000+9100+85130+47940</f>
    </nc>
  </rcc>
  <rcc rId="7996" sId="1">
    <oc r="G55">
      <f>837700+120485.85+39150+17000+6000+175000+28300+3485+21400+60500</f>
    </oc>
    <nc r="G55">
      <f>837700+120485.85+39150+17000+6000+175000+28300+3485+21400+60500+234790.27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rc rId="7784" sId="1" ref="A165:XFD165" action="insertRow"/>
  <rrc rId="7785" sId="1" ref="A165:XFD165" action="insertRow"/>
  <rrc rId="7786" sId="1" ref="A165:XFD166" action="insertRow"/>
  <rcc rId="7787" sId="1">
    <nc r="A165" t="inlineStr">
      <is>
        <t>Межбюджетные трансферты</t>
      </is>
    </nc>
  </rcc>
  <rcc rId="7788" sId="1" numFmtId="4">
    <nc r="B165">
      <v>650</v>
    </nc>
  </rcc>
  <rcc rId="7789" sId="1" numFmtId="4">
    <nc r="C165">
      <v>5</v>
    </nc>
  </rcc>
  <rcc rId="7790" sId="1">
    <nc r="D165" t="inlineStr">
      <is>
        <t>03</t>
      </is>
    </nc>
  </rcc>
  <rcc rId="7791" sId="1" numFmtId="4">
    <nc r="F165">
      <v>500</v>
    </nc>
  </rcc>
  <rcc rId="7792" sId="1">
    <nc r="G165">
      <f>G166</f>
    </nc>
  </rcc>
  <rcc rId="7793" sId="1">
    <nc r="A166" t="inlineStr">
      <is>
        <t xml:space="preserve">Иные межбюджетные трансферты </t>
      </is>
    </nc>
  </rcc>
  <rcc rId="7794" sId="1" numFmtId="4">
    <nc r="B166">
      <v>650</v>
    </nc>
  </rcc>
  <rcc rId="7795" sId="1" numFmtId="4">
    <nc r="C166">
      <v>5</v>
    </nc>
  </rcc>
  <rcc rId="7796" sId="1">
    <nc r="D166" t="inlineStr">
      <is>
        <t>03</t>
      </is>
    </nc>
  </rcc>
  <rcc rId="7797" sId="1" numFmtId="4">
    <nc r="F166">
      <v>540</v>
    </nc>
  </rcc>
  <rrc rId="7798" sId="1" ref="A167:XFD167" action="deleteRow">
    <rfmt sheetId="1" xfDxf="1" s="1" sqref="A167:XFD16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167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67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67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67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67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67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67" start="0" length="0">
      <dxf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9" sId="1" ref="A167:XFD167" action="deleteRow">
    <rfmt sheetId="1" xfDxf="1" s="1" sqref="A167:XFD16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167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67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67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67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67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67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67" start="0" length="0">
      <dxf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800" sId="1">
    <nc r="E165" t="inlineStr">
      <is>
        <t>0240195550</t>
      </is>
    </nc>
  </rcc>
  <rcc rId="7801" sId="1">
    <nc r="E166" t="inlineStr">
      <is>
        <t>0240195550</t>
      </is>
    </nc>
  </rcc>
  <rcc rId="7802" sId="1">
    <nc r="G166">
      <f>600000+1270000+1270000</f>
    </nc>
  </rcc>
  <rcc rId="7803" sId="1">
    <oc r="G154">
      <f>G163+G161+G156+G159</f>
    </oc>
    <nc r="G154">
      <f>G163+G161+G156+G159+G165</f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Вед2018!$A$1:$H$235</formula>
    <oldFormula>Вед2018!$A$1:$H$235</oldFormula>
  </rdn>
  <rdn rId="0" localSheetId="1" customView="1" name="Z_4F39DA5C_9059_406E_9F89_B6E20F660542_.wvu.FilterData" hidden="1" oldHidden="1">
    <formula>Вед2018!$E$1:$E$365</formula>
    <oldFormula>Вед2018!$E$1:$E$365</oldFormula>
  </rdn>
  <rcv guid="{4F39DA5C-9059-406E-9F89-B6E20F66054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7779" sId="1" numFmtId="4">
    <oc r="G164">
      <v>314100</v>
    </oc>
    <nc r="G164">
      <f>314100-314100</f>
    </nc>
  </rcc>
  <rcc rId="7780" sId="1" numFmtId="4">
    <oc r="G162">
      <v>1978200</v>
    </oc>
    <nc r="G162">
      <f>1978200-1978200</f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Вед2018!$A$1:$H$233</formula>
    <oldFormula>Вед2018!$A$1:$H$233</oldFormula>
  </rdn>
  <rdn rId="0" localSheetId="1" customView="1" name="Z_4F39DA5C_9059_406E_9F89_B6E20F660542_.wvu.FilterData" hidden="1" oldHidden="1">
    <formula>Вед2018!$E$1:$E$363</formula>
    <oldFormula>Вед2018!$E$1:$E$363</oldFormula>
  </rdn>
  <rcv guid="{4F39DA5C-9059-406E-9F89-B6E20F660542}" action="add"/>
</revisions>
</file>

<file path=xl/revisions/revisionLog15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29" sId="1">
    <oc r="G216">
      <f>3398800+1497549.21</f>
    </oc>
    <nc r="G216">
      <f>3398800+1497549.21+0.02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8304" sId="1">
    <oc r="F3" t="inlineStr">
      <is>
        <t>№ от</t>
      </is>
    </oc>
    <nc r="F3" t="inlineStr">
      <is>
        <t>№ 24 от 24.12.2018г.</t>
      </is>
    </nc>
  </rcc>
  <rcc rId="8305" sId="1">
    <nc r="F1">
      <v>2.4</v>
    </nc>
  </rcc>
  <rcv guid="{1D456867-ECB1-4D8E-874D-17CC7019B8E5}" action="delete"/>
  <rdn rId="0" localSheetId="1" customView="1" name="Z_1D456867_ECB1_4D8E_874D_17CC7019B8E5_.wvu.FilterData" hidden="1" oldHidden="1">
    <formula>Вед2018!$E$1:$E$386</formula>
    <oldFormula>Вед2018!$E$1:$E$386</oldFormula>
  </rdn>
  <rcv guid="{1D456867-ECB1-4D8E-874D-17CC7019B8E5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8192" sId="1">
    <oc r="G45">
      <v>100000</v>
    </oc>
    <nc r="G45">
      <f>100000-100000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Вед2018!$A$1:$H$251</formula>
    <oldFormula>Вед2018!$A$1:$H$251</oldFormula>
  </rdn>
  <rdn rId="0" localSheetId="1" customView="1" name="Z_4F39DA5C_9059_406E_9F89_B6E20F660542_.wvu.Rows" hidden="1" oldHidden="1">
    <formula>Вед2018!$219:$220</formula>
    <oldFormula>Вед2018!$219:$220</oldFormula>
  </rdn>
  <rdn rId="0" localSheetId="1" customView="1" name="Z_4F39DA5C_9059_406E_9F89_B6E20F660542_.wvu.FilterData" hidden="1" oldHidden="1">
    <formula>Вед2018!$E$1:$E$381</formula>
    <oldFormula>Вед2018!$E$1:$E$381</oldFormula>
  </rdn>
  <rcv guid="{4F39DA5C-9059-406E-9F89-B6E20F66054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qref="I19" start="0" length="0">
    <dxf>
      <numFmt numFmtId="4" formatCode="#,##0.00"/>
    </dxf>
  </rfmt>
  <rfmt sheetId="1" sqref="I27" start="0" length="0">
    <dxf>
      <numFmt numFmtId="4" formatCode="#,##0.00"/>
    </dxf>
  </rfmt>
  <rfmt sheetId="1" sqref="I31" start="0" length="0">
    <dxf>
      <numFmt numFmtId="4" formatCode="#,##0.00"/>
    </dxf>
  </rfmt>
  <rfmt sheetId="1" sqref="I34" start="0" length="0">
    <dxf>
      <numFmt numFmtId="4" formatCode="#,##0.00"/>
    </dxf>
  </rfmt>
  <rfmt sheetId="1" sqref="I36" start="0" length="0">
    <dxf>
      <numFmt numFmtId="4" formatCode="#,##0.00"/>
    </dxf>
  </rfmt>
  <rfmt sheetId="1" sqref="I43" start="0" length="0">
    <dxf>
      <numFmt numFmtId="4" formatCode="#,##0.00"/>
    </dxf>
  </rfmt>
  <rfmt sheetId="1" sqref="I52" start="0" length="0">
    <dxf>
      <numFmt numFmtId="4" formatCode="#,##0.00"/>
    </dxf>
  </rfmt>
  <rfmt sheetId="1" sqref="I44" start="0" length="0">
    <dxf>
      <numFmt numFmtId="4" formatCode="#,##0.00"/>
    </dxf>
  </rfmt>
  <rfmt sheetId="1" sqref="I60" start="0" length="0">
    <dxf>
      <numFmt numFmtId="4" formatCode="#,##0.00"/>
    </dxf>
  </rfmt>
  <rfmt sheetId="1" sqref="I64" start="0" length="0">
    <dxf>
      <numFmt numFmtId="4" formatCode="#,##0.00"/>
    </dxf>
  </rfmt>
  <rfmt sheetId="1" sqref="I67" start="0" length="0">
    <dxf>
      <numFmt numFmtId="4" formatCode="#,##0.00"/>
    </dxf>
  </rfmt>
  <rfmt sheetId="1" sqref="I81" start="0" length="0">
    <dxf>
      <numFmt numFmtId="4" formatCode="#,##0.00"/>
    </dxf>
  </rfmt>
  <rfmt sheetId="1" sqref="I85" start="0" length="0">
    <dxf>
      <numFmt numFmtId="4" formatCode="#,##0.00"/>
    </dxf>
  </rfmt>
  <rfmt sheetId="1" sqref="I97" start="0" length="0">
    <dxf>
      <numFmt numFmtId="4" formatCode="#,##0.00"/>
    </dxf>
  </rfmt>
  <rfmt sheetId="1" sqref="I109" start="0" length="0">
    <dxf>
      <numFmt numFmtId="4" formatCode="#,##0.00"/>
    </dxf>
  </rfmt>
  <rfmt sheetId="1" sqref="I119" start="0" length="0">
    <dxf>
      <numFmt numFmtId="4" formatCode="#,##0.00"/>
    </dxf>
  </rfmt>
  <rfmt sheetId="1" sqref="I126" start="0" length="0">
    <dxf>
      <numFmt numFmtId="4" formatCode="#,##0.00"/>
    </dxf>
  </rfmt>
  <rfmt sheetId="1" sqref="I134" start="0" length="0">
    <dxf>
      <numFmt numFmtId="4" formatCode="#,##0.00"/>
    </dxf>
  </rfmt>
  <rfmt sheetId="1" sqref="I144" start="0" length="0">
    <dxf>
      <numFmt numFmtId="4" formatCode="#,##0.00"/>
    </dxf>
  </rfmt>
  <rfmt sheetId="1" sqref="I150" start="0" length="0">
    <dxf>
      <numFmt numFmtId="4" formatCode="#,##0.00"/>
    </dxf>
  </rfmt>
  <rfmt sheetId="1" sqref="I154" start="0" length="0">
    <dxf>
      <numFmt numFmtId="4" formatCode="#,##0.00"/>
    </dxf>
  </rfmt>
  <rfmt sheetId="1" sqref="I169" start="0" length="0">
    <dxf>
      <numFmt numFmtId="4" formatCode="#,##0.00"/>
    </dxf>
  </rfmt>
  <rfmt sheetId="1" sqref="I173" start="0" length="0">
    <dxf>
      <numFmt numFmtId="4" formatCode="#,##0.00"/>
    </dxf>
  </rfmt>
  <rfmt sheetId="1" sqref="I176" start="0" length="0">
    <dxf>
      <numFmt numFmtId="4" formatCode="#,##0.00"/>
    </dxf>
  </rfmt>
  <rfmt sheetId="1" sqref="I188" start="0" length="0">
    <dxf>
      <numFmt numFmtId="4" formatCode="#,##0.00"/>
    </dxf>
  </rfmt>
  <rfmt sheetId="1" sqref="I189" start="0" length="0">
    <dxf>
      <numFmt numFmtId="4" formatCode="#,##0.00"/>
    </dxf>
  </rfmt>
  <rfmt sheetId="1" sqref="I205" start="0" length="0">
    <dxf>
      <numFmt numFmtId="4" formatCode="#,##0.00"/>
    </dxf>
  </rfmt>
  <rfmt sheetId="1" sqref="I209" start="0" length="0">
    <dxf>
      <numFmt numFmtId="4" formatCode="#,##0.00"/>
    </dxf>
  </rfmt>
  <rfmt sheetId="1" sqref="I214" start="0" length="0">
    <dxf>
      <numFmt numFmtId="4" formatCode="#,##0.00"/>
    </dxf>
  </rfmt>
  <rfmt sheetId="1" sqref="I218" start="0" length="0">
    <dxf>
      <numFmt numFmtId="4" formatCode="#,##0.00"/>
    </dxf>
  </rfmt>
  <rfmt sheetId="1" sqref="I223" start="0" length="0">
    <dxf>
      <numFmt numFmtId="4" formatCode="#,##0.00"/>
    </dxf>
  </rfmt>
  <rfmt sheetId="1" sqref="I229" start="0" length="0">
    <dxf>
      <numFmt numFmtId="4" formatCode="#,##0.00"/>
    </dxf>
  </rfmt>
  <rfmt sheetId="1" sqref="I12" start="0" length="0">
    <dxf>
      <numFmt numFmtId="4" formatCode="#,##0.00"/>
    </dxf>
  </rfmt>
  <rrc rId="7825" sId="1" ref="A205:XFD205" action="insertRow"/>
  <rrc rId="7826" sId="1" ref="A205:XFD205" action="insertRow"/>
  <rrc rId="7827" sId="1" ref="A205:XFD205" action="insertRow"/>
  <rcc rId="7828" sId="1" odxf="1" dxf="1">
    <nc r="A205" t="inlineStr">
      <is>
        <t>Иные межбюджетные трансферты на реализацию прочих мероприятий в рамках подпрограммы "Укрепление единого культурного пространства"</t>
      </is>
    </nc>
    <odxf>
      <font>
        <b val="0"/>
        <name val="Times New Roman Cyr"/>
        <scheme val="none"/>
      </font>
      <border outline="0">
        <left style="medium">
          <color indexed="64"/>
        </left>
      </border>
    </odxf>
    <ndxf>
      <font>
        <b/>
        <sz val="12"/>
        <name val="Times New Roman"/>
        <scheme val="none"/>
      </font>
      <border outline="0">
        <left style="thin">
          <color indexed="64"/>
        </left>
      </border>
    </ndxf>
  </rcc>
  <rcc rId="7829" sId="1" odxf="1" dxf="1">
    <nc r="A206" t="inlineStr">
      <is>
        <t>Закупка товаров, работ и услуг для обеспечения государственных (муниципальных) нужд</t>
      </is>
    </nc>
    <odxf>
      <font>
        <name val="Times New Roman Cyr"/>
        <scheme val="none"/>
      </font>
      <border outline="0">
        <left style="medium">
          <color indexed="64"/>
        </left>
      </border>
    </odxf>
    <ndxf>
      <font>
        <sz val="12"/>
        <name val="Times New Roman"/>
        <scheme val="none"/>
      </font>
      <border outline="0">
        <left style="thin">
          <color indexed="64"/>
        </left>
      </border>
    </ndxf>
  </rcc>
  <rcc rId="7830" sId="1" odxf="1" dxf="1">
    <nc r="A207" t="inlineStr">
      <is>
        <t>Иные закупки товаров,работ и услуг для обеспечения государственных(муниципальных )нужд</t>
      </is>
    </nc>
    <odxf>
      <font>
        <name val="Times New Roman Cyr"/>
        <scheme val="none"/>
      </font>
      <border outline="0">
        <left style="medium">
          <color indexed="64"/>
        </left>
      </border>
    </odxf>
    <ndxf>
      <font>
        <sz val="12"/>
        <name val="Times New Roman"/>
        <scheme val="none"/>
      </font>
      <border outline="0">
        <left style="thin">
          <color indexed="64"/>
        </left>
      </border>
    </ndxf>
  </rcc>
  <rfmt sheetId="1" sqref="A205:A207" start="0" length="2147483647">
    <dxf>
      <font>
        <sz val="10"/>
      </font>
    </dxf>
  </rfmt>
  <rcc rId="7831" sId="1" odxf="1" dxf="1" numFmtId="4">
    <nc r="C206">
      <v>8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2" sId="1" odxf="1" dxf="1" numFmtId="4">
    <nc r="D206">
      <v>1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3" sId="1" odxf="1" dxf="1">
    <nc r="E206" t="inlineStr">
      <is>
        <t>0520370050</t>
      </is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4" sId="1" odxf="1" dxf="1" numFmtId="4">
    <nc r="F206">
      <v>200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5" sId="1" odxf="1" dxf="1">
    <nc r="G206">
      <f>G207</f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6" sId="1" odxf="1" dxf="1" numFmtId="4">
    <nc r="C207">
      <v>8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7" sId="1" odxf="1" dxf="1" numFmtId="4">
    <nc r="D207">
      <v>1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8" sId="1" odxf="1" dxf="1">
    <nc r="E207" t="inlineStr">
      <is>
        <t>0520370050</t>
      </is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39" sId="1" odxf="1" dxf="1" numFmtId="4">
    <nc r="F207">
      <v>240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cc rId="7840" sId="1" odxf="1" dxf="1" numFmtId="4">
    <nc r="G207">
      <v>100000</v>
    </nc>
    <odxf>
      <font>
        <name val="Times New Roman Cyr"/>
        <scheme val="none"/>
      </font>
    </odxf>
    <ndxf>
      <font>
        <sz val="12"/>
        <name val="Times New Roman"/>
        <scheme val="none"/>
      </font>
    </ndxf>
  </rcc>
  <rfmt sheetId="1" sqref="C206:G207" start="0" length="2147483647">
    <dxf>
      <font>
        <sz val="10"/>
      </font>
    </dxf>
  </rfmt>
  <rcc rId="7841" sId="1" numFmtId="4">
    <nc r="B206">
      <v>650</v>
    </nc>
  </rcc>
  <rcc rId="7842" sId="1" numFmtId="4">
    <nc r="B207">
      <v>650</v>
    </nc>
  </rcc>
  <rcc rId="7843" sId="1" numFmtId="4">
    <nc r="B205">
      <v>650</v>
    </nc>
  </rcc>
  <rcc rId="7844" sId="1" numFmtId="4">
    <nc r="C205">
      <v>8</v>
    </nc>
  </rcc>
  <rcc rId="7845" sId="1" numFmtId="4">
    <nc r="D205">
      <v>1</v>
    </nc>
  </rcc>
  <rcc rId="7846" sId="1">
    <nc r="E205" t="inlineStr">
      <is>
        <t>0520370050</t>
      </is>
    </nc>
  </rcc>
  <rcc rId="7847" sId="1">
    <nc r="G205">
      <f>G206</f>
    </nc>
  </rcc>
  <rfmt sheetId="1" sqref="A205:G205" start="0" length="2147483647">
    <dxf>
      <font>
        <b val="0"/>
      </font>
    </dxf>
  </rfmt>
  <rfmt sheetId="1" sqref="A205:G205" start="0" length="2147483647">
    <dxf>
      <font>
        <b/>
      </font>
    </dxf>
  </rfmt>
  <rcc rId="7848" sId="1">
    <oc r="G185">
      <f>G186+G216+G220</f>
    </oc>
    <nc r="G185">
      <f>G186+G216+G220+G205</f>
    </nc>
  </rcc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Функцион2018!$23:$23,Функцион2018!$35:$36</oldFormula>
  </rdn>
  <rdn rId="0" localSheetId="1" customView="1" name="Z_4F39DA5C_9059_406E_9F89_B6E20F660542_.wvu.PrintArea" hidden="1" oldHidden="1">
    <formula>Вед2018!$A$1:$H$238</formula>
    <oldFormula>Вед2018!$A$1:$H$238</oldFormula>
  </rdn>
  <rdn rId="0" localSheetId="1" customView="1" name="Z_4F39DA5C_9059_406E_9F89_B6E20F660542_.wvu.FilterData" hidden="1" oldHidden="1">
    <formula>Вед2018!$E$1:$E$368</formula>
    <oldFormula>Вед2018!$E$1:$E$368</oldFormula>
  </rdn>
  <rcv guid="{4F39DA5C-9059-406E-9F89-B6E20F660542}" action="add"/>
</revisions>
</file>

<file path=xl/revisions/revisionLog16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0" sId="1">
    <oc r="G111">
      <f>2522500+54325.99-15960+15960+585260</f>
    </oc>
    <nc r="G111">
      <f>2522500+54325.99-15960+585260</f>
    </nc>
  </rcc>
  <rcc rId="7731" sId="1" numFmtId="4">
    <oc r="G115">
      <v>780400</v>
    </oc>
    <nc r="G115">
      <f>780400+15960</f>
    </nc>
  </rcc>
</revisions>
</file>

<file path=xl/revisions/revisionLog1612.xml><?xml version="1.0" encoding="utf-8"?>
<revisions xmlns="http://schemas.openxmlformats.org/spreadsheetml/2006/main" xmlns:r="http://schemas.openxmlformats.org/officeDocument/2006/relationships">
  <rcc rId="7905" sId="1">
    <oc r="F3" t="inlineStr">
      <is>
        <t>№ 334   от 29.06.2018г.</t>
      </is>
    </oc>
    <nc r="F3" t="inlineStr">
      <is>
        <t>№     от 31.07.2018г.</t>
      </is>
    </nc>
  </rcc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Функцион2018!$23:$23,Функцион2018!$35:$36</oldFormula>
  </rdn>
  <rdn rId="0" localSheetId="1" customView="1" name="Z_4F39DA5C_9059_406E_9F89_B6E20F660542_.wvu.PrintArea" hidden="1" oldHidden="1">
    <formula>Вед2018!$A$1:$H$241</formula>
    <oldFormula>Вед2018!$A$1:$H$241</oldFormula>
  </rdn>
  <rdn rId="0" localSheetId="1" customView="1" name="Z_4F39DA5C_9059_406E_9F89_B6E20F660542_.wvu.Rows" hidden="1" oldHidden="1">
    <formula>Вед2018!$209:$210</formula>
    <oldFormula>Вед2018!$209:$210</oldFormula>
  </rdn>
  <rdn rId="0" localSheetId="1" customView="1" name="Z_4F39DA5C_9059_406E_9F89_B6E20F660542_.wvu.FilterData" hidden="1" oldHidden="1">
    <formula>Вед2018!$E$1:$E$371</formula>
    <oldFormula>Вед2018!$E$1:$E$371</oldFormula>
  </rdn>
  <rcv guid="{4F39DA5C-9059-406E-9F89-B6E20F660542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2" sId="1" numFmtId="4">
    <oc r="F167">
      <v>244</v>
    </oc>
    <nc r="F167">
      <v>540</v>
    </nc>
  </rcc>
  <rcc rId="7733" sId="1">
    <oc r="A166" t="inlineStr">
      <is>
        <t>Иные закупки товаров,работ и услуг для обеспечения государственных(муниципальных )нужд</t>
      </is>
    </oc>
    <nc r="A166"/>
  </rcc>
  <rcc rId="7734" sId="1" numFmtId="4">
    <oc r="B166">
      <v>650</v>
    </oc>
    <nc r="B166"/>
  </rcc>
  <rcc rId="7735" sId="1" numFmtId="4">
    <oc r="C166">
      <v>5</v>
    </oc>
    <nc r="C166"/>
  </rcc>
  <rcc rId="7736" sId="1">
    <oc r="D166" t="inlineStr">
      <is>
        <t>03</t>
      </is>
    </oc>
    <nc r="D166"/>
  </rcc>
  <rcc rId="7737" sId="1">
    <oc r="E166" t="inlineStr">
      <is>
        <t>02401L5550</t>
      </is>
    </oc>
    <nc r="E166"/>
  </rcc>
  <rcc rId="7738" sId="1" numFmtId="4">
    <oc r="F166">
      <v>240</v>
    </oc>
    <nc r="F166"/>
  </rcc>
  <rcc rId="7739" sId="1">
    <oc r="G166">
      <f>G167</f>
    </oc>
    <nc r="G166"/>
  </rcc>
  <rrc rId="7740" sId="1" ref="A166:XFD166" action="deleteRow">
    <undo index="0" exp="ref" v="1" dr="G166" r="G165" sId="1"/>
    <rfmt sheetId="1" xfDxf="1" s="1" sqref="A166:XFD16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66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66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66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66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66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66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6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66" start="0" length="0">
      <dxf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741" sId="1">
    <oc r="G165">
      <f>#REF!</f>
    </oc>
    <nc r="G165">
      <f>G166</f>
    </nc>
  </rcc>
  <rcc rId="7742" sId="1" numFmtId="4">
    <oc r="F165">
      <v>200</v>
    </oc>
    <nc r="F165">
      <v>500</v>
    </nc>
  </rcc>
  <rcc rId="7743" sId="1">
    <oc r="A163" t="inlineStr">
      <is>
        <t>Иные закупки товаров,работ и услуг для обеспечения государственных(муниципальных )нужд</t>
      </is>
    </oc>
    <nc r="A163"/>
  </rcc>
  <rcc rId="7744" sId="1" numFmtId="4">
    <oc r="B163">
      <v>650</v>
    </oc>
    <nc r="B163"/>
  </rcc>
  <rcc rId="7745" sId="1" numFmtId="4">
    <oc r="C163">
      <v>5</v>
    </oc>
    <nc r="C163"/>
  </rcc>
  <rcc rId="7746" sId="1">
    <oc r="D163" t="inlineStr">
      <is>
        <t>03</t>
      </is>
    </oc>
    <nc r="D163"/>
  </rcc>
  <rcc rId="7747" sId="1">
    <oc r="E163" t="inlineStr">
      <is>
        <t>02401R5550</t>
      </is>
    </oc>
    <nc r="E163"/>
  </rcc>
  <rcc rId="7748" sId="1" numFmtId="4">
    <oc r="F163">
      <v>240</v>
    </oc>
    <nc r="F163"/>
  </rcc>
  <rcc rId="7749" sId="1">
    <oc r="G163">
      <f>G164</f>
    </oc>
    <nc r="G163"/>
  </rcc>
  <rcc rId="7750" sId="1">
    <oc r="G162">
      <f>G163</f>
    </oc>
    <nc r="G162">
      <f>G164</f>
    </nc>
  </rcc>
  <rrc rId="7751" sId="1" ref="A163:XFD163" action="deleteRow">
    <rfmt sheetId="1" xfDxf="1" s="1" sqref="A163:XFD16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63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63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63" start="0" length="0">
      <dxf>
        <font>
          <name val="Times New Roman CYR"/>
          <scheme val="none"/>
        </font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63" start="0" length="0">
      <dxf>
        <font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63" start="0" length="0">
      <dxf>
        <font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63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63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63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752" sId="1" numFmtId="4">
    <oc r="F163">
      <v>244</v>
    </oc>
    <nc r="F163">
      <v>540</v>
    </nc>
  </rcc>
  <rcc rId="7753" sId="1" numFmtId="4">
    <oc r="F162">
      <v>200</v>
    </oc>
    <nc r="F162">
      <v>500</v>
    </nc>
  </rcc>
  <rcc rId="7754" sId="1" numFmtId="4">
    <oc r="F161">
      <v>244</v>
    </oc>
    <nc r="F161">
      <v>540</v>
    </nc>
  </rcc>
  <rcc rId="7755" sId="1">
    <oc r="A160" t="inlineStr">
      <is>
        <t>Иные закупки товаров,работ и услуг для обеспечения государственных(муниципальных )нужд</t>
      </is>
    </oc>
    <nc r="A160"/>
  </rcc>
  <rcc rId="7756" sId="1" numFmtId="4">
    <oc r="B160">
      <v>650</v>
    </oc>
    <nc r="B160"/>
  </rcc>
  <rcc rId="7757" sId="1" numFmtId="4">
    <oc r="C160">
      <v>5</v>
    </oc>
    <nc r="C160"/>
  </rcc>
  <rcc rId="7758" sId="1">
    <oc r="D160" t="inlineStr">
      <is>
        <t>03</t>
      </is>
    </oc>
    <nc r="D160"/>
  </rcc>
  <rcc rId="7759" sId="1">
    <oc r="E160" t="inlineStr">
      <is>
        <t>02401R5550</t>
      </is>
    </oc>
    <nc r="E160"/>
  </rcc>
  <rcc rId="7760" sId="1" numFmtId="4">
    <oc r="F160">
      <v>240</v>
    </oc>
    <nc r="F160"/>
  </rcc>
  <rcc rId="7761" sId="1">
    <oc r="G160">
      <f>G161</f>
    </oc>
    <nc r="G160"/>
  </rcc>
  <rcc rId="7762" sId="1">
    <oc r="G159">
      <f>G160</f>
    </oc>
    <nc r="G159">
      <f>G161</f>
    </nc>
  </rcc>
  <rrc rId="7763" sId="1" ref="A160:XFD160" action="deleteRow">
    <rfmt sheetId="1" xfDxf="1" s="1" sqref="A160:XFD16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60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60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60" start="0" length="0">
      <dxf>
        <font>
          <name val="Times New Roman CYR"/>
          <scheme val="none"/>
        </font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60" start="0" length="0">
      <dxf>
        <font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60" start="0" length="0">
      <dxf>
        <font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60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60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60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764" sId="1" numFmtId="4">
    <oc r="F159">
      <v>200</v>
    </oc>
    <nc r="F159">
      <v>500</v>
    </nc>
  </rcc>
  <rcc rId="7765" sId="1">
    <oc r="E136" t="inlineStr">
      <is>
        <t>6000082590</t>
      </is>
    </oc>
    <nc r="E136" t="inlineStr">
      <is>
        <t>6000082591</t>
      </is>
    </nc>
  </rcc>
  <rcc rId="7766" sId="1">
    <oc r="E135" t="inlineStr">
      <is>
        <t>6000082590</t>
      </is>
    </oc>
    <nc r="E135" t="inlineStr">
      <is>
        <t>6000082591</t>
      </is>
    </nc>
  </rcc>
  <rcc rId="7767" sId="1" odxf="1" dxf="1">
    <oc r="E134" t="inlineStr">
      <is>
        <t>6000082590</t>
      </is>
    </oc>
    <nc r="E134" t="inlineStr">
      <is>
        <t>6000082591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768" sId="2">
    <oc r="D3" t="inlineStr">
      <is>
        <t>№     от 29.06.2018г.</t>
      </is>
    </oc>
    <nc r="D3" t="inlineStr">
      <is>
        <t>№334      от 29.06.2018г.</t>
      </is>
    </nc>
  </rcc>
  <rcc rId="7769" sId="1">
    <oc r="F3" t="inlineStr">
      <is>
        <t>№    от 29.06.2018г.</t>
      </is>
    </oc>
    <nc r="F3" t="inlineStr">
      <is>
        <t>№ 334   от 29.06.2018г.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8296" sId="1">
    <oc r="G132">
      <f>280500-39150-23000+9100+85130+34140+12000-9817.11</f>
    </oc>
    <nc r="G132">
      <f>280500-39150-23000+9100+85130+34140+12000-9817.11+13800</f>
    </nc>
  </rcc>
  <rcc rId="8297" sId="1">
    <oc r="G55">
      <f>837700+120485.85+39150+17000+6000+175000+28300+3485+21400+60500+190860.04-4000-12000-2945-3000-32533.88-28902-21543.97+129348.92</f>
    </oc>
    <nc r="G55">
      <f>837700+120485.85+39150+17000+6000+175000+28300+3485+21400+60500+190860.04-4000-12000-2945-3000-32533.88-28902-21543.97+115548.92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8174" sId="1">
    <oc r="G12">
      <f>G13+G61+G69+G100+G128+G182+G197+G237+G245+G36</f>
    </oc>
    <nc r="G12">
      <f>G13+G61+G69+G100+G128+G182+G197+G237+G245+G36+G178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Вед2018!$A$1:$H$251</formula>
    <oldFormula>Вед2018!$A$1:$H$251</oldFormula>
  </rdn>
  <rdn rId="0" localSheetId="1" customView="1" name="Z_4F39DA5C_9059_406E_9F89_B6E20F660542_.wvu.Rows" hidden="1" oldHidden="1">
    <formula>Вед2018!$219:$220</formula>
    <oldFormula>Вед2018!$219:$220</oldFormula>
  </rdn>
  <rdn rId="0" localSheetId="1" customView="1" name="Z_4F39DA5C_9059_406E_9F89_B6E20F660542_.wvu.FilterData" hidden="1" oldHidden="1">
    <formula>Вед2018!$E$1:$E$381</formula>
    <oldFormula>Вед2018!$E$1:$E$381</oldFormula>
  </rdn>
  <rcv guid="{4F39DA5C-9059-406E-9F89-B6E20F660542}" action="add"/>
</revisions>
</file>

<file path=xl/revisions/revisionLog18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0" sId="1" odxf="1" dxf="1">
    <oc r="A163" t="inlineStr">
      <is>
        <t>Закупка товаров, работ и услуг для обеспечения государственных (муниципальных) нужд</t>
      </is>
    </oc>
    <nc r="A163" t="inlineStr">
      <is>
        <t>Межбюджетные трансферты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771" sId="1" odxf="1" dxf="1">
    <oc r="A164" t="inlineStr">
      <is>
        <t>Прочая закупка товаров,работ и услуг для обеспечения государственных(муниципальных )нужд (местный бюджет)</t>
      </is>
    </oc>
    <nc r="A164" t="inlineStr">
      <is>
        <t xml:space="preserve">Иные межбюджетные трансферты 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772" sId="1">
    <oc r="A162" t="inlineStr">
      <is>
        <t>Прочая закупка товаров,работ и услуг для обеспечения государственных(муниципальных )нужд (окружные средства)</t>
      </is>
    </oc>
    <nc r="A162" t="inlineStr">
      <is>
        <t>Иные межбюджетные трансферты (окружные средства)</t>
      </is>
    </nc>
  </rcc>
  <rcc rId="7773" sId="1" odxf="1" dxf="1">
    <oc r="A161" t="inlineStr">
      <is>
        <t>Закупка товаров, работ и услуг для обеспечения государственных (муниципальных) нужд</t>
      </is>
    </oc>
    <nc r="A161" t="inlineStr">
      <is>
        <t>Межбюджетные трансферты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774" sId="1">
    <oc r="A160" t="inlineStr">
      <is>
        <t>Прочая закупка товаров,работ и услуг для обеспечения государственных(муниципальных )нужд (федеральные средства)</t>
      </is>
    </oc>
    <nc r="A160" t="inlineStr">
      <is>
        <t>Иные межбюджетные трансферты  (федеральные средства)</t>
      </is>
    </nc>
  </rcc>
  <rcc rId="7775" sId="1" odxf="1" dxf="1">
    <oc r="A159" t="inlineStr">
      <is>
        <t>Закупка товаров, работ и услуг для обеспечения государственных (муниципальных) нужд</t>
      </is>
    </oc>
    <nc r="A159" t="inlineStr">
      <is>
        <t>Межбюджетные трансферты</t>
      </is>
    </nc>
    <odxf>
      <font>
        <name val="Times New Roman Cyr"/>
        <scheme val="none"/>
      </font>
    </odxf>
    <ndxf>
      <font>
        <name val="Times New Roman Cyr"/>
        <scheme val="none"/>
      </font>
    </ndxf>
  </rcc>
</revisions>
</file>

<file path=xl/revisions/revisionLog18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c rId="8179" sId="1">
    <oc r="G172">
      <f>600000+1270000+1270000-2295.83-5187.18</f>
    </oc>
    <nc r="G172">
      <f>600000+1270000+1270000-2295.83-5187.18-1376.06</f>
    </nc>
  </rcc>
  <rcc rId="8180" sId="1">
    <oc r="G142">
      <f>6507500+2132500-1517679+355086</f>
    </oc>
    <nc r="G142">
      <f>6507500+2132500-1517679+355086-1246676.13</f>
    </nc>
  </rcc>
  <rcc rId="8181" sId="1">
    <oc r="G209">
      <f>263400-56600+30000+46950-2168.03-520.07+11400</f>
    </oc>
    <nc r="G209">
      <f>263400-56600+30000+46950-2168.03-520.07+11400-7964.88+6000</f>
    </nc>
  </rcc>
  <rcc rId="8182" sId="1">
    <oc r="G210">
      <f>2023000+56600+76000+15000+13400+48279+130050+135985+16000+97741.41+25000+124941.3+50182.89+5000+1672.88+30000+112000+18500+187644.3+46500+14200+20000</f>
    </oc>
    <nc r="G210">
      <f>2023000+56600+76000+15000+13400+48279+130050+135985+16000+97741.41+25000+124941.3+50182.89+5000+1672.88+30000+112000+18500+187644.3+46500+14200+20000+99990-30061.22+279.99</f>
    </nc>
  </rcc>
  <rcc rId="8183" sId="1">
    <oc r="G213">
      <f>1315200-10286.38</f>
    </oc>
    <nc r="G213">
      <f>1315200-10286.38+81.2</f>
    </nc>
  </rcc>
  <rcc rId="8184" sId="1">
    <oc r="G33">
      <f>1798900+87880.15-216644.34+155000</f>
    </oc>
    <nc r="G33">
      <f>1798900+87880.15-216644.34+155000+31664.91</f>
    </nc>
  </rcc>
  <rcc rId="8185" sId="1">
    <oc r="G145">
      <f>342500+617500-168631+39454</f>
    </oc>
    <nc r="G145">
      <f>342500+617500-168631+39454-138519.57</f>
    </nc>
  </rcc>
  <rcc rId="8186" sId="1">
    <oc r="G55">
      <f>837700+120485.85+39150+17000+6000+175000+28300+3485+21400+60500+190860.04-4000-12000</f>
    </oc>
    <nc r="G55">
      <f>837700+120485.85+39150+17000+6000+175000+28300+3485+21400+60500+190860.04-4000-12000-2945</f>
    </nc>
  </rcc>
  <rcc rId="8187" sId="1" numFmtId="4">
    <oc r="G194">
      <v>44570.06</v>
    </oc>
    <nc r="G194">
      <f>44570.06+2945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Вед2018!$A$1:$H$251</formula>
    <oldFormula>Вед2018!$A$1:$H$251</oldFormula>
  </rdn>
  <rdn rId="0" localSheetId="1" customView="1" name="Z_4F39DA5C_9059_406E_9F89_B6E20F660542_.wvu.Rows" hidden="1" oldHidden="1">
    <formula>Вед2018!$219:$220</formula>
    <oldFormula>Вед2018!$219:$220</oldFormula>
  </rdn>
  <rdn rId="0" localSheetId="1" customView="1" name="Z_4F39DA5C_9059_406E_9F89_B6E20F660542_.wvu.FilterData" hidden="1" oldHidden="1">
    <formula>Вед2018!$E$1:$E$381</formula>
    <oldFormula>Вед2018!$E$1:$E$381</oldFormula>
  </rdn>
  <rcv guid="{4F39DA5C-9059-406E-9F89-B6E20F660542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8291" sId="1">
    <oc r="G139">
      <f>400000-250000</f>
    </oc>
    <nc r="G139">
      <f>400000-250000-108296.83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rc rId="7819" sId="2" ref="A18:XFD18" action="deleteRow">
    <undo index="5" exp="ref" v="1" dr="D18" r="D15" sId="2"/>
    <undo index="0" exp="area" ref3D="1" dr="$F$1:$F$1048576" dn="Z_F21A4357_4490_4DC5_AD5F_D74077CDC8A9_.wvu.Cols" sId="2"/>
    <undo index="4" exp="area" ref3D="1" dr="$A$36:$XFD$37" dn="Z_4F39DA5C_9059_406E_9F89_B6E20F660542_.wvu.Rows" sId="2"/>
    <undo index="2" exp="area" ref3D="1" dr="$A$24:$XFD$24" dn="Z_4F39DA5C_9059_406E_9F89_B6E20F660542_.wvu.Rows" sId="2"/>
    <rfmt sheetId="2" xfDxf="1" s="1" sqref="A18:XFD1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2" s="1" dxf="1">
      <nc r="A18" t="inlineStr">
        <is>
          <t>Защита населения и территории от чрезвычайных ситуаций природного и техногенного характера, гражданская оборона</t>
        </is>
      </nc>
      <ndxf>
        <font>
          <sz val="10"/>
          <color auto="1"/>
          <name val="Times New Roman Cyr"/>
          <scheme val="none"/>
        </font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B18">
        <v>3</v>
      </nc>
      <ndxf>
        <font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C18">
        <v>9</v>
      </nc>
      <ndxf>
        <font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D18">
        <f>Вед2018!G78</f>
      </nc>
      <ndxf>
        <font>
          <sz val="12"/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8" start="0" length="0">
      <dxf>
        <font>
          <sz val="12"/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820" sId="2">
    <oc r="D15">
      <f>D16+D18+D17+#REF!</f>
    </oc>
    <nc r="D15">
      <f>D16+D18+D17</f>
    </nc>
  </rcc>
  <rcc rId="7821" sId="2" odxf="1" dxf="1">
    <nc r="H39">
      <f>D8+D13+D15+D19+D24+D29+D31+D33+D37</f>
    </nc>
    <odxf>
      <numFmt numFmtId="0" formatCode="General"/>
    </odxf>
    <ndxf>
      <numFmt numFmtId="4" formatCode="#,##0.00"/>
    </ndxf>
  </rcc>
  <rcv guid="{4F39DA5C-9059-406E-9F89-B6E20F660542}" action="delete"/>
  <rdn rId="0" localSheetId="2" customView="1" name="Z_4F39DA5C_9059_406E_9F89_B6E20F660542_.wvu.Rows" hidden="1" oldHidden="1">
    <formula>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Вед2018!$A$1:$H$235</formula>
    <oldFormula>Вед2018!$A$1:$H$235</oldFormula>
  </rdn>
  <rdn rId="0" localSheetId="1" customView="1" name="Z_4F39DA5C_9059_406E_9F89_B6E20F660542_.wvu.FilterData" hidden="1" oldHidden="1">
    <formula>Вед2018!$E$1:$E$365</formula>
    <oldFormula>Вед2018!$E$1:$E$365</oldFormula>
  </rdn>
  <rcv guid="{4F39DA5C-9059-406E-9F89-B6E20F660542}" action="add"/>
</revisions>
</file>

<file path=xl/revisions/revisionLog19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6" sId="1">
    <oc r="E139" t="inlineStr">
      <is>
        <t>60000S2590</t>
      </is>
    </oc>
    <nc r="E139" t="inlineStr">
      <is>
        <t>60000S2591</t>
      </is>
    </nc>
  </rcc>
  <rcc rId="7777" sId="1">
    <oc r="E138" t="inlineStr">
      <is>
        <t>60000S2590</t>
      </is>
    </oc>
    <nc r="E138" t="inlineStr">
      <is>
        <t>60000S2591</t>
      </is>
    </nc>
  </rcc>
  <rcc rId="7778" sId="1">
    <oc r="E137" t="inlineStr">
      <is>
        <t>60000S2590</t>
      </is>
    </oc>
    <nc r="E137" t="inlineStr">
      <is>
        <t>60000S2591</t>
      </is>
    </nc>
  </rcc>
</revisions>
</file>

<file path=xl/revisions/revisionLog19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Вед2018!$A$1:$H$256</formula>
    <oldFormula>Вед2018!$A$1:$H$256</oldFormula>
  </rdn>
  <rdn rId="0" localSheetId="1" customView="1" name="Z_4F39DA5C_9059_406E_9F89_B6E20F660542_.wvu.Rows" hidden="1" oldHidden="1">
    <formula>Вед2018!$224:$225</formula>
    <oldFormula>Вед2018!$224:$225</oldFormula>
  </rdn>
  <rdn rId="0" localSheetId="1" customView="1" name="Z_4F39DA5C_9059_406E_9F89_B6E20F660542_.wvu.FilterData" hidden="1" oldHidden="1">
    <formula>Вед2018!$E$1:$E$386</formula>
    <oldFormula>Вед2018!$E$1:$E$386</oldFormula>
  </rdn>
  <rcv guid="{4F39DA5C-9059-406E-9F89-B6E20F660542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7979" sId="1">
    <oc r="G187">
      <f>58210.45+2168.03</f>
    </oc>
    <nc r="G187">
      <f>58210.45+2168.03-2168.03</f>
    </nc>
  </rcc>
  <rcc rId="7980" sId="1" numFmtId="4">
    <oc r="G188">
      <v>17579.55</v>
    </oc>
    <nc r="G188">
      <f>17579.55-98.4</f>
    </nc>
  </rcc>
  <rcc rId="7981" sId="1" numFmtId="4">
    <oc r="G205">
      <v>1315200</v>
    </oc>
    <nc r="G205">
      <f>1315200-10286.38</f>
    </nc>
  </rcc>
  <rcc rId="7982" sId="1">
    <oc r="G201">
      <f>263400-56600+30000+46950-2168.03</f>
    </oc>
    <nc r="G201">
      <f>263400-56600+30000+46950-2168.03-520.07+11400</f>
    </nc>
  </rcc>
  <rcc rId="7983" sId="1">
    <oc r="G196">
      <f>9841500+307995.25</f>
    </oc>
    <nc r="G196">
      <f>9841500+307995.25-583492.94</f>
    </nc>
  </rcc>
  <rcc rId="7984" sId="1" numFmtId="4">
    <oc r="G197">
      <v>100000</v>
    </oc>
    <nc r="G197">
      <f>100000+173148.64</f>
    </nc>
  </rcc>
  <rcc rId="7985" sId="1">
    <oc r="G202">
      <f>2023000+56600+76000+15000+13400+48279+130050+135985+16000+95101.41+2640+25000+1776+14000+124941.3+34628.89+5000</f>
    </oc>
    <nc r="G202">
      <f>2023000+56600+76000+15000+13400+48279+130050+135985+16000+95101.41+2640+25000+1776+14000+124941.3+34628.89+5000+1672.88+187644.3+46500+14200+30000+112000+20000</f>
    </nc>
  </rcc>
  <rcv guid="{4F39DA5C-9059-406E-9F89-B6E20F660542}" action="delete"/>
  <rdn rId="0" localSheetId="2" customView="1" name="Z_4F39DA5C_9059_406E_9F89_B6E20F660542_.wvu.Rows" hidden="1" oldHidden="1">
    <formula>Функцион2018!$24:$24,Функцион2018!$36:$37</formula>
    <oldFormula>Функцион2018!$24:$24,Функцион2018!$36:$37</oldFormula>
  </rdn>
  <rdn rId="0" localSheetId="1" customView="1" name="Z_4F39DA5C_9059_406E_9F89_B6E20F660542_.wvu.PrintArea" hidden="1" oldHidden="1">
    <formula>Вед2018!$A$1:$H$243</formula>
    <oldFormula>Вед2018!$A$1:$H$243</oldFormula>
  </rdn>
  <rdn rId="0" localSheetId="1" customView="1" name="Z_4F39DA5C_9059_406E_9F89_B6E20F660542_.wvu.Rows" hidden="1" oldHidden="1">
    <formula>Вед2018!$211:$212</formula>
    <oldFormula>Вед2018!$211:$212</oldFormula>
  </rdn>
  <rdn rId="0" localSheetId="1" customView="1" name="Z_4F39DA5C_9059_406E_9F89_B6E20F660542_.wvu.FilterData" hidden="1" oldHidden="1">
    <formula>Вед2018!$E$1:$E$373</formula>
    <oldFormula>Вед2018!$E$1:$E$373</oldFormula>
  </rdn>
  <rcv guid="{4F39DA5C-9059-406E-9F89-B6E20F66054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3" sId="1">
    <oc r="E1" t="inlineStr">
      <is>
        <t>Приложение № 8</t>
      </is>
    </oc>
    <nc r="E1" t="inlineStr">
      <is>
        <t>Приложение № 4</t>
      </is>
    </nc>
  </rcc>
  <rcc rId="7444" sId="1" numFmtId="4">
    <oc r="G106">
      <v>2522500</v>
    </oc>
    <nc r="G106">
      <f>2522500+54325.99</f>
    </nc>
  </rcc>
  <rfmt sheetId="1" sqref="G12:H293">
    <dxf>
      <numFmt numFmtId="4" formatCode="#,##0.00"/>
    </dxf>
  </rfmt>
  <rrc rId="7445" sId="1" ref="A50:XFD50" action="insertRow"/>
  <rcc rId="7446" sId="1">
    <nc r="A50" t="inlineStr">
      <is>
        <t xml:space="preserve">Уплата прочих налогов, сборов </t>
      </is>
    </nc>
  </rcc>
  <rcc rId="7447" sId="1" numFmtId="4">
    <nc r="B50">
      <v>650</v>
    </nc>
  </rcc>
  <rcc rId="7448" sId="1" numFmtId="4">
    <nc r="C50">
      <v>1</v>
    </nc>
  </rcc>
  <rcc rId="7449" sId="1" numFmtId="4">
    <nc r="D50">
      <v>13</v>
    </nc>
  </rcc>
  <rcc rId="7450" sId="1">
    <nc r="E50" t="inlineStr">
      <is>
        <t>0700102400</t>
      </is>
    </nc>
  </rcc>
  <rcc rId="7451" sId="1" numFmtId="4">
    <nc r="F50">
      <v>852</v>
    </nc>
  </rcc>
  <rcc rId="7452" sId="1" numFmtId="4">
    <nc r="G50">
      <v>30000</v>
    </nc>
  </rcc>
  <rcc rId="7453" sId="1">
    <oc r="A51" t="inlineStr">
      <is>
        <t xml:space="preserve">Уплата прочих налогов, сборов </t>
      </is>
    </oc>
    <nc r="A51" t="inlineStr">
      <is>
        <t>Уплата иных платежей</t>
      </is>
    </nc>
  </rcc>
  <rcc rId="7454" sId="1" numFmtId="4">
    <oc r="F51">
      <v>852</v>
    </oc>
    <nc r="F51">
      <v>853</v>
    </nc>
  </rcc>
  <rcc rId="7455" sId="1">
    <oc r="G48">
      <f>G49+G51</f>
    </oc>
    <nc r="G48">
      <f>G49+G51+G50</f>
    </nc>
  </rcc>
  <rcc rId="7456" sId="1" numFmtId="4">
    <oc r="G181">
      <v>263400</v>
    </oc>
    <nc r="G181">
      <f>263400-56600</f>
    </nc>
  </rcc>
  <rcc rId="7457" sId="1" numFmtId="4">
    <oc r="G182">
      <v>2023000</v>
    </oc>
    <nc r="G182">
      <f>2023000+56600</f>
    </nc>
  </rcc>
  <rcc rId="7458" sId="1" numFmtId="4">
    <oc r="G51">
      <v>30000</v>
    </oc>
    <nc r="G51">
      <v>158671.09</v>
    </nc>
  </rcc>
  <rcc rId="7459" sId="2">
    <oc r="D1" t="inlineStr">
      <is>
        <t>Приложение № 4</t>
      </is>
    </oc>
    <nc r="D1" t="inlineStr">
      <is>
        <t>Приложение № 2</t>
      </is>
    </nc>
  </rcc>
  <rcc rId="7460" sId="2">
    <oc r="D3" t="inlineStr">
      <is>
        <t>№309 от 29.12.2017</t>
      </is>
    </oc>
    <nc r="D3" t="inlineStr">
      <is>
        <t>№    от 29.01.2018</t>
      </is>
    </nc>
  </rcc>
  <rfmt sheetId="2" sqref="D8:E39">
    <dxf>
      <numFmt numFmtId="4" formatCode="#,##0.00"/>
    </dxf>
  </rfmt>
  <rcc rId="7461" sId="1">
    <oc r="F3" t="inlineStr">
      <is>
        <t>№309 от 29.12.2017</t>
      </is>
    </oc>
    <nc r="F3" t="inlineStr">
      <is>
        <t xml:space="preserve">№ от 29.01.2018 </t>
      </is>
    </nc>
  </rcc>
  <rcv guid="{92CDF3B4-C714-4C4F-B6E7-8E2145A85B5B}" action="delete"/>
  <rdn rId="0" localSheetId="1" customView="1" name="Z_92CDF3B4_C714_4C4F_B6E7_8E2145A85B5B_.wvu.FilterData" hidden="1" oldHidden="1">
    <formula>Вед2018!$E$1:$E$343</formula>
    <oldFormula>Вед2018!$A$10:$G$217</oldFormula>
  </rdn>
  <rcv guid="{92CDF3B4-C714-4C4F-B6E7-8E2145A85B5B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15" sId="2">
    <oc r="D3" t="inlineStr">
      <is>
        <t>№     от 31.07.2018г.</t>
      </is>
    </oc>
    <nc r="D3" t="inlineStr">
      <is>
        <t>№   337  от 31.07.2018г.</t>
      </is>
    </nc>
  </rcc>
  <rcv guid="{D0D32967-A2A4-4D09-946D-9F01A9BC030D}" action="delete"/>
  <rdn rId="0" localSheetId="1" customView="1" name="Z_D0D32967_A2A4_4D09_946D_9F01A9BC030D_.wvu.FilterData" hidden="1" oldHidden="1">
    <formula>Вед2018!$E$1:$E$371</formula>
    <oldFormula>Вед2018!$E$1:$E$371</oldFormula>
  </rdn>
  <rcv guid="{D0D32967-A2A4-4D09-946D-9F01A9BC030D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17" sId="1">
    <oc r="F3" t="inlineStr">
      <is>
        <t>№     от 31.07.2018г.</t>
      </is>
    </oc>
    <nc r="F3" t="inlineStr">
      <is>
        <t>№  337   от 31.07.2018г.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918" sId="1" ref="A38:XFD38" action="insertRow">
    <undo index="0" exp="area" ref3D="1" dr="$A$209:$XFD$210" dn="Z_4F39DA5C_9059_406E_9F89_B6E20F660542_.wvu.Rows" sId="1"/>
  </rrc>
  <rcc rId="7919" sId="1">
    <nc r="A38" t="inlineStr">
      <is>
        <t xml:space="preserve">Подготовка и проведение выборов </t>
      </is>
    </nc>
  </rcc>
  <rcc rId="7920" sId="1" numFmtId="4">
    <nc r="B38">
      <v>650</v>
    </nc>
  </rcc>
  <rcc rId="7921" sId="1" numFmtId="4">
    <nc r="C38">
      <v>1</v>
    </nc>
  </rcc>
  <rcc rId="7922" sId="1" numFmtId="4">
    <nc r="D38">
      <v>7</v>
    </nc>
  </rcc>
  <rcc rId="7923" sId="1">
    <nc r="E38" t="inlineStr">
      <is>
        <t>0700179990</t>
      </is>
    </nc>
  </rcc>
  <rcc rId="7924" sId="1" numFmtId="4">
    <nc r="F38">
      <v>120</v>
    </nc>
  </rcc>
  <rcc rId="7925" sId="1" numFmtId="4">
    <nc r="G38">
      <v>276848</v>
    </nc>
  </rcc>
  <rcc rId="7926" sId="1" numFmtId="4">
    <oc r="F39">
      <v>120</v>
    </oc>
    <nc r="F39">
      <v>123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27" sId="1">
    <oc r="G162">
      <f>558843+100000+52125+8616.36-199500+99600+99900</f>
    </oc>
    <nc r="G162">
      <f>558843+100000+52125+8616.36-199500+99600+99900+2664</f>
    </nc>
  </rcc>
  <rcc rId="7928" sId="1">
    <oc r="G35">
      <f>291973+6146-3073+2664</f>
    </oc>
    <nc r="G35">
      <f>291973+6146-3073</f>
    </nc>
  </rcc>
  <rrc rId="7929" sId="2" ref="A11:XFD11" action="insertRow">
    <undo index="4" exp="area" ref3D="1" dr="$A$13:$XFD$14" dn="Z_F21A4357_4490_4DC5_AD5F_D74077CDC8A9_.wvu.Rows" sId="2"/>
    <undo index="0" exp="area" ref3D="1" dr="$F$1:$F$1048576" dn="Z_F21A4357_4490_4DC5_AD5F_D74077CDC8A9_.wvu.Cols" sId="2"/>
    <undo index="2" exp="area" ref3D="1" dr="$A$35:$XFD$36" dn="Z_4F39DA5C_9059_406E_9F89_B6E20F660542_.wvu.Rows" sId="2"/>
    <undo index="1" exp="area" ref3D="1" dr="$A$23:$XFD$23" dn="Z_4F39DA5C_9059_406E_9F89_B6E20F660542_.wvu.Rows" sId="2"/>
  </rrc>
  <rcc rId="7930" sId="2" odxf="1" s="1" dxf="1">
    <nc r="A11" t="inlineStr">
      <is>
        <t xml:space="preserve">Подготовка и проведение выборов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b/>
        <sz val="10"/>
        <color auto="1"/>
        <name val="Times New Roman Cyr"/>
        <scheme val="none"/>
      </font>
      <border outline="0">
        <left style="medium">
          <color indexed="64"/>
        </left>
      </border>
    </ndxf>
  </rcc>
  <rcc rId="7931" sId="2" numFmtId="4">
    <nc r="B11">
      <v>1</v>
    </nc>
  </rcc>
  <rcc rId="7932" sId="2" numFmtId="4">
    <nc r="C11">
      <v>7</v>
    </nc>
  </rcc>
  <rcc rId="7933" sId="2">
    <nc r="D11">
      <f>Вед2018!G36</f>
    </nc>
  </rcc>
  <rfmt sheetId="2" sqref="A11" start="0" length="2147483647">
    <dxf>
      <font>
        <sz val="12"/>
      </font>
    </dxf>
  </rfmt>
  <rcc rId="7934" sId="2">
    <oc r="D8">
      <f>D9+D10+D12+D13</f>
    </oc>
    <nc r="D8">
      <f>D9+D10+D12+D13+D11</f>
    </nc>
  </rcc>
  <rcv guid="{92CDF3B4-C714-4C4F-B6E7-8E2145A85B5B}" action="delete"/>
  <rdn rId="0" localSheetId="1" customView="1" name="Z_92CDF3B4_C714_4C4F_B6E7_8E2145A85B5B_.wvu.FilterData" hidden="1" oldHidden="1">
    <formula>Вед2018!$E$1:$E$372</formula>
    <oldFormula>Вед2018!$E$1:$E$372</oldFormula>
  </rdn>
  <rcv guid="{92CDF3B4-C714-4C4F-B6E7-8E2145A85B5B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36" sId="1" numFmtId="4">
    <oc r="G39">
      <v>276848</v>
    </oc>
    <nc r="G39">
      <f>276848+130700</f>
    </nc>
  </rcc>
  <rrc rId="7937" sId="1" ref="A40:XFD40" action="insertRow">
    <undo index="0" exp="area" ref3D="1" dr="$A$210:$XFD$211" dn="Z_4F39DA5C_9059_406E_9F89_B6E20F660542_.wvu.Rows" sId="1"/>
  </rrc>
  <rcc rId="7938" sId="1">
    <nc r="A40" t="inlineStr">
      <is>
        <t xml:space="preserve">Подготовка и проведение выборов </t>
      </is>
    </nc>
  </rcc>
  <rcc rId="7939" sId="1" numFmtId="4">
    <nc r="B40">
      <v>650</v>
    </nc>
  </rcc>
  <rcc rId="7940" sId="1" numFmtId="4">
    <nc r="C40">
      <v>1</v>
    </nc>
  </rcc>
  <rcc rId="7941" sId="1" numFmtId="4">
    <nc r="D40">
      <v>7</v>
    </nc>
  </rcc>
  <rcc rId="7942" sId="1">
    <nc r="E40" t="inlineStr">
      <is>
        <t>0700179990</t>
      </is>
    </nc>
  </rcc>
  <rcc rId="7943" sId="1" numFmtId="4">
    <nc r="F40">
      <v>880</v>
    </nc>
  </rcc>
  <rcc rId="7944" sId="1" numFmtId="4">
    <nc r="G40">
      <v>153980</v>
    </nc>
  </rcc>
  <rcc rId="7945" sId="1" numFmtId="4">
    <oc r="G38">
      <v>276848</v>
    </oc>
    <nc r="G38">
      <f>G39</f>
    </nc>
  </rcc>
  <rcc rId="7946" sId="1">
    <oc r="G36">
      <f>G37</f>
    </oc>
    <nc r="G36">
      <f>G37+G40</f>
    </nc>
  </rcc>
  <rcc rId="7947" sId="1">
    <oc r="G126">
      <f>280500-39150-23000+9100</f>
    </oc>
    <nc r="G126">
      <f>280500-39150-23000+9100+85130</f>
    </nc>
  </rcc>
  <rcc rId="7948" sId="1">
    <oc r="G55">
      <f>837700+120485.85+39150+17000+6000+175000+28300</f>
    </oc>
    <nc r="G55">
      <f>837700+120485.85+39150+17000+6000+175000+28300+3485+21400</f>
    </nc>
  </rcc>
  <rcc rId="7949" sId="1" numFmtId="4">
    <oc r="G110">
      <v>705400</v>
    </oc>
    <nc r="G110">
      <f>705400+200000</f>
    </nc>
  </rcc>
  <rcc rId="7950" sId="1">
    <oc r="G202">
      <f>2023000+56600+76000+15000+13400+48279+130050</f>
    </oc>
    <nc r="G202">
      <f>2023000+56600+76000+15000+13400+48279+130050+135985+16000+95101.41+2640+25000+1776+14000+124941.3+34628.89+5000</f>
    </nc>
  </rcc>
  <rcc rId="7951" sId="1">
    <oc r="G35">
      <f>291973+6146-3073</f>
    </oc>
    <nc r="G35">
      <f>291973+6146-3073+888</f>
    </nc>
  </rcc>
  <rcc rId="7952" sId="1">
    <oc r="G163">
      <f>558843+100000+52125+8616.36-199500+99600+99900+2664</f>
    </oc>
    <nc r="G163">
      <f>558843+100000+52125+8616.36-199500+99600+99900+2664-2664</f>
    </nc>
  </rcc>
  <rcc rId="7953" sId="1">
    <oc r="G88">
      <f>37700+92000</f>
    </oc>
    <nc r="G88">
      <f>37700+92000-14000</f>
    </nc>
  </rcc>
  <rcc rId="7954" sId="1" numFmtId="4">
    <oc r="G184">
      <v>255000</v>
    </oc>
    <nc r="G184">
      <f>255000-124941.3</f>
    </nc>
  </rcc>
  <rcc rId="7955" sId="1" numFmtId="4">
    <oc r="G185">
      <v>77000</v>
    </oc>
    <nc r="G185">
      <f>77000-34628.89</f>
    </nc>
  </rcc>
  <rcc rId="7956" sId="1">
    <oc r="F3" t="inlineStr">
      <is>
        <t>№  337   от 31.07.2018г.</t>
      </is>
    </oc>
    <nc r="F3" t="inlineStr">
      <is>
        <t>№     от 31.08.2018г.</t>
      </is>
    </nc>
  </rcc>
  <rcc rId="7957" sId="2">
    <oc r="D3" t="inlineStr">
      <is>
        <t>№   337  от 31.07.2018г.</t>
      </is>
    </oc>
    <nc r="D3" t="inlineStr">
      <is>
        <t>№     от 31.08.2018г.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3" sId="1" numFmtId="4">
    <oc r="G51">
      <v>158671.09</v>
    </oc>
    <nc r="G51">
      <f>120485.85+10000+28185.14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7" sId="1">
    <oc r="E191" t="inlineStr">
      <is>
        <t>6000082440</t>
      </is>
    </oc>
    <nc r="E191" t="inlineStr">
      <is>
        <t>6000082580</t>
      </is>
    </nc>
  </rcc>
  <rcc rId="7468" sId="1">
    <oc r="E192" t="inlineStr">
      <is>
        <t>6000082440</t>
      </is>
    </oc>
    <nc r="E192" t="inlineStr">
      <is>
        <t>6000082580</t>
      </is>
    </nc>
  </rcc>
  <rcc rId="7469" sId="1">
    <oc r="E193" t="inlineStr">
      <is>
        <t>6000082440</t>
      </is>
    </oc>
    <nc r="E193" t="inlineStr">
      <is>
        <t>6000082580</t>
      </is>
    </nc>
  </rcc>
  <rcc rId="7470" sId="1">
    <oc r="E194" t="inlineStr">
      <is>
        <t>6000082440</t>
      </is>
    </oc>
    <nc r="E194" t="inlineStr">
      <is>
        <t>6000082580</t>
      </is>
    </nc>
  </rcc>
  <rcc rId="7471" sId="1">
    <oc r="E195" t="inlineStr">
      <is>
        <t>60000S2440</t>
      </is>
    </oc>
    <nc r="E195" t="inlineStr">
      <is>
        <t>60000S2580</t>
      </is>
    </nc>
  </rcc>
  <rcc rId="7472" sId="1">
    <oc r="E196" t="inlineStr">
      <is>
        <t>60000S2440</t>
      </is>
    </oc>
    <nc r="E196" t="inlineStr">
      <is>
        <t>60000S2580</t>
      </is>
    </nc>
  </rcc>
  <rcc rId="7473" sId="1">
    <oc r="E197" t="inlineStr">
      <is>
        <t>60000S2440</t>
      </is>
    </oc>
    <nc r="E197" t="inlineStr">
      <is>
        <t>60000S2580</t>
      </is>
    </nc>
  </rcc>
  <rcc rId="7474" sId="1">
    <oc r="E198" t="inlineStr">
      <is>
        <t>60000S2440</t>
      </is>
    </oc>
    <nc r="E198" t="inlineStr">
      <is>
        <t>60000S2580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5" sId="1">
    <oc r="F3" t="inlineStr">
      <is>
        <t xml:space="preserve">№317 от 29.01.2018 </t>
      </is>
    </oc>
    <nc r="F3" t="inlineStr">
      <is>
        <t xml:space="preserve">№    от 28.02.2018 </t>
      </is>
    </nc>
  </rcc>
  <rcc rId="7476" sId="1" numFmtId="4">
    <oc r="G148">
      <v>220000</v>
    </oc>
    <nc r="G148">
      <f>220000-76000</f>
    </nc>
  </rcc>
  <rcc rId="7477" sId="1">
    <oc r="G51">
      <f>120485.85+10000+28185.14</f>
    </oc>
    <nc r="G51">
      <f>120485.85+10000+28185.14-120485.85</f>
    </nc>
  </rcc>
  <rcc rId="7478" sId="1">
    <oc r="G46">
      <v>837700</v>
    </oc>
    <nc r="G46">
      <f>837700+120485.85+39150</f>
    </nc>
  </rcc>
  <rcc rId="7479" sId="1" numFmtId="4">
    <oc r="G117">
      <v>280500</v>
    </oc>
    <nc r="G117">
      <f>280500-39150</f>
    </nc>
  </rcc>
  <rrc rId="7480" sId="1" ref="A187:XFD190" action="insertRow"/>
  <rcc rId="7481" sId="1">
    <nc r="A187" t="inlineStr">
      <is>
        <t>Основное мероприятие «Сохранение, развитие, популяризация традиций культуры»</t>
      </is>
    </nc>
  </rcc>
  <rcc rId="7482" sId="1" numFmtId="4">
    <nc r="B187">
      <v>650</v>
    </nc>
  </rcc>
  <rcc rId="7483" sId="1" numFmtId="4">
    <nc r="C187">
      <v>8</v>
    </nc>
  </rcc>
  <rcc rId="7484" sId="1" numFmtId="4">
    <nc r="D187">
      <v>1</v>
    </nc>
  </rcc>
  <rcc rId="7485" sId="1">
    <nc r="E187" t="inlineStr">
      <is>
        <t>0510300000</t>
      </is>
    </nc>
  </rcc>
  <rcc rId="7486" sId="1">
    <nc r="G187">
      <f>G188</f>
    </nc>
  </rcc>
  <rcc rId="7487" sId="1">
    <nc r="A188" t="inlineStr">
      <is>
        <t>Закупка товаров, работ и услуг для обеспечения государственных (муниципальных) нужд</t>
      </is>
    </nc>
  </rcc>
  <rcc rId="7488" sId="1" numFmtId="4">
    <nc r="B188">
      <v>650</v>
    </nc>
  </rcc>
  <rcc rId="7489" sId="1" numFmtId="4">
    <nc r="C188">
      <v>8</v>
    </nc>
  </rcc>
  <rcc rId="7490" sId="1" numFmtId="4">
    <nc r="D188">
      <v>1</v>
    </nc>
  </rcc>
  <rcc rId="7491" sId="1">
    <nc r="E188" t="inlineStr">
      <is>
        <t>0510300590</t>
      </is>
    </nc>
  </rcc>
  <rcc rId="7492" sId="1" numFmtId="4">
    <nc r="F188">
      <v>200</v>
    </nc>
  </rcc>
  <rcc rId="7493" sId="1">
    <nc r="G188">
      <f>G189</f>
    </nc>
  </rcc>
  <rcc rId="7494" sId="1">
    <nc r="A189" t="inlineStr">
      <is>
        <t>Иные закупки товаров,работ и услуг для обеспечения государственных(муниципальных )нужд</t>
      </is>
    </nc>
  </rcc>
  <rcc rId="7495" sId="1" numFmtId="4">
    <nc r="B189">
      <v>650</v>
    </nc>
  </rcc>
  <rcc rId="7496" sId="1" numFmtId="4">
    <nc r="C189">
      <v>8</v>
    </nc>
  </rcc>
  <rcc rId="7497" sId="1" numFmtId="4">
    <nc r="D189">
      <v>1</v>
    </nc>
  </rcc>
  <rcc rId="7498" sId="1">
    <nc r="E189" t="inlineStr">
      <is>
        <t>0510300590</t>
      </is>
    </nc>
  </rcc>
  <rcc rId="7499" sId="1" numFmtId="4">
    <nc r="F189">
      <v>240</v>
    </nc>
  </rcc>
  <rcc rId="7500" sId="1">
    <nc r="G189">
      <f>G190</f>
    </nc>
  </rcc>
  <rcc rId="7501" sId="1">
    <nc r="A190" t="inlineStr">
      <is>
        <t>Прочая закупка товаров,работ и услуг для обеспечения государственных(муниципальных )нужд</t>
      </is>
    </nc>
  </rcc>
  <rcc rId="7502" sId="1" numFmtId="4">
    <nc r="B190">
      <v>650</v>
    </nc>
  </rcc>
  <rcc rId="7503" sId="1" numFmtId="4">
    <nc r="C190">
      <v>8</v>
    </nc>
  </rcc>
  <rcc rId="7504" sId="1" numFmtId="4">
    <nc r="D190">
      <v>1</v>
    </nc>
  </rcc>
  <rcc rId="7505" sId="1">
    <nc r="E190" t="inlineStr">
      <is>
        <t>0510300590</t>
      </is>
    </nc>
  </rcc>
  <rcc rId="7506" sId="1" numFmtId="4">
    <nc r="F190">
      <v>244</v>
    </nc>
  </rcc>
  <rcc rId="7507" sId="1" numFmtId="4">
    <nc r="G190">
      <v>40000</v>
    </nc>
  </rcc>
  <rcc rId="7508" sId="1" xfDxf="1" s="1" dxf="1">
    <oc r="A191" t="inlineStr">
      <is>
        <t>Основное мероприятие «Сохранение, развитие, популяризация традиций культуры»</t>
      </is>
    </oc>
    <nc r="A191" t="inlineStr">
      <is>
        <t>Иные межбюджетные трансферты на реализацию прочих мероприятий в рамках подпрограммы "Укрепление единого культурного пространства"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7509" sId="1">
    <oc r="G192">
      <f>G193</f>
    </oc>
    <nc r="G192">
      <f>G193</f>
    </nc>
  </rcc>
  <rcc rId="7510" sId="1">
    <oc r="G193">
      <f>G194</f>
    </oc>
    <nc r="G193">
      <f>G194</f>
    </nc>
  </rcc>
  <rcc rId="7511" sId="1">
    <oc r="E192" t="inlineStr">
      <is>
        <t>0510300590</t>
      </is>
    </oc>
    <nc r="E192" t="inlineStr">
      <is>
        <t>0520370050</t>
      </is>
    </nc>
  </rcc>
  <rcc rId="7512" sId="1">
    <oc r="E193" t="inlineStr">
      <is>
        <t>0510300590</t>
      </is>
    </oc>
    <nc r="E193" t="inlineStr">
      <is>
        <t>0520370050</t>
      </is>
    </nc>
  </rcc>
  <rcc rId="7513" sId="1">
    <oc r="E194" t="inlineStr">
      <is>
        <t>0510300590</t>
      </is>
    </oc>
    <nc r="E194" t="inlineStr">
      <is>
        <t>0520370050</t>
      </is>
    </nc>
  </rcc>
  <rcc rId="7514" sId="1" numFmtId="4">
    <oc r="G194">
      <v>40000</v>
    </oc>
    <nc r="G194">
      <v>100000</v>
    </nc>
  </rcc>
  <rcc rId="7515" sId="1">
    <oc r="E191" t="inlineStr">
      <is>
        <t>0510300000</t>
      </is>
    </oc>
    <nc r="E191" t="inlineStr">
      <is>
        <t>0520370050</t>
      </is>
    </nc>
  </rcc>
  <rcc rId="7516" sId="1">
    <oc r="G191">
      <f>G192</f>
    </oc>
    <nc r="G191">
      <f>G192</f>
    </nc>
  </rcc>
  <rfmt sheetId="1" sqref="A187:XFD187" start="0" length="2147483647">
    <dxf>
      <font>
        <b/>
      </font>
    </dxf>
  </rfmt>
  <rfmt sheetId="1" sqref="A191:XFD191" start="0" length="2147483647">
    <dxf>
      <font>
        <b/>
      </font>
    </dxf>
  </rfmt>
  <rfmt sheetId="1" sqref="A195:XFD195" start="0" length="2147483647">
    <dxf>
      <font>
        <b/>
      </font>
    </dxf>
  </rfmt>
  <rcc rId="7517" sId="1">
    <oc r="G172">
      <f>G173+G195+G191+G199</f>
    </oc>
    <nc r="G172">
      <f>G173+G187</f>
    </nc>
  </rcc>
  <rcc rId="7518" sId="1">
    <oc r="G171">
      <f>G172</f>
    </oc>
    <nc r="G171">
      <f>G172+G191</f>
    </nc>
  </rcc>
  <rcc rId="7519" sId="1">
    <oc r="G170">
      <f>G171</f>
    </oc>
    <nc r="G170">
      <f>G171+G195+G199</f>
    </nc>
  </rcc>
  <rfmt sheetId="1" sqref="A199:H199" start="0" length="2147483647">
    <dxf>
      <font>
        <b/>
      </font>
    </dxf>
  </rfmt>
  <rcc rId="7520" sId="1" numFmtId="4">
    <oc r="G20">
      <v>1072200</v>
    </oc>
    <nc r="G20">
      <f>1072200+169060.02</f>
    </nc>
  </rcc>
  <rcc rId="7521" sId="1" numFmtId="4">
    <oc r="G21">
      <v>323800</v>
    </oc>
    <nc r="G21">
      <f>323800+51056.13</f>
    </nc>
  </rcc>
  <rcc rId="7522" sId="1" numFmtId="4">
    <oc r="G28">
      <v>5956500</v>
    </oc>
    <nc r="G28">
      <f>5956500+290993.89</f>
    </nc>
  </rcc>
  <rcc rId="7523" sId="1" numFmtId="4">
    <oc r="G29">
      <v>1798900</v>
    </oc>
    <nc r="G29">
      <f>1798900+87880.15</f>
    </nc>
  </rcc>
  <rcc rId="7524" sId="1" numFmtId="4">
    <oc r="G176">
      <v>9841500</v>
    </oc>
    <nc r="G176">
      <f>9841500+307995.25</f>
    </nc>
  </rcc>
  <rcc rId="7525" sId="1" numFmtId="4">
    <oc r="G178">
      <v>2851000</v>
    </oc>
    <nc r="G178">
      <f>2851000+93014.56</f>
    </nc>
  </rcc>
  <rcc rId="7526" sId="1" numFmtId="4">
    <oc r="G97">
      <v>779500</v>
    </oc>
    <nc r="G97">
      <f>779500+22292</f>
    </nc>
  </rcc>
  <rcc rId="7527" sId="1">
    <oc r="G182">
      <f>2023000+56600</f>
    </oc>
    <nc r="G182">
      <f>2023000+56600+76000</f>
    </nc>
  </rcc>
  <rcc rId="7528" sId="2">
    <oc r="D3" t="inlineStr">
      <is>
        <t>№  317  от 29.01.2018</t>
      </is>
    </oc>
    <nc r="D3" t="inlineStr">
      <is>
        <t>№      от 28.02.2018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5:A17" start="0" length="0">
    <dxf>
      <border>
        <left style="thin">
          <color indexed="64"/>
        </left>
      </border>
    </dxf>
  </rfmt>
  <rfmt sheetId="1" sqref="A15:A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5" sId="1">
    <oc r="G182">
      <f>2023000+56600+76000</f>
    </oc>
    <nc r="G182">
      <f>2023000+56600+76000+15000+13400</f>
    </nc>
  </rcc>
  <rcc rId="7536" sId="1">
    <oc r="G181">
      <f>263400-56600</f>
    </oc>
    <nc r="G181">
      <f>263400-56600+30000</f>
    </nc>
  </rcc>
  <rcc rId="7537" sId="1">
    <oc r="G46">
      <f>837700+120485.85+39150</f>
    </oc>
    <nc r="G46">
      <f>837700+120485.85+39150+17000</f>
    </nc>
  </rcc>
  <rcc rId="7538" sId="1">
    <oc r="G148">
      <f>220000-76000</f>
    </oc>
    <nc r="G148">
      <f>220000-76000-52125</f>
    </nc>
  </rcc>
  <rcc rId="7539" sId="1">
    <oc r="G154">
      <v>558843</v>
    </oc>
    <nc r="G154">
      <f>558843+100000+52125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0" sId="1">
    <oc r="G51">
      <f>120485.85+10000+28185.14-120485.85</f>
    </oc>
    <nc r="G51">
      <f>120485.85+10000+28185.14-120485.85+21815</f>
    </nc>
  </rcc>
  <rcc rId="7541" sId="1">
    <oc r="G182">
      <f>2023000+56600+76000+15000+13400</f>
    </oc>
    <nc r="G182">
      <f>2023000+56600+76000+15000+13400+48279</f>
    </nc>
  </rcc>
  <rcc rId="7542" sId="1" numFmtId="4">
    <oc r="G79">
      <v>37700</v>
    </oc>
    <nc r="G79">
      <f>37700+92000</f>
    </nc>
  </rcc>
  <rcc rId="7543" sId="1">
    <oc r="F3" t="inlineStr">
      <is>
        <t xml:space="preserve">№  319  от 28.02.2018 </t>
      </is>
    </oc>
    <nc r="F3" t="inlineStr">
      <is>
        <t xml:space="preserve">№   от 30.03.2018 </t>
      </is>
    </nc>
  </rcc>
  <rcc rId="7544" sId="2">
    <oc r="D3" t="inlineStr">
      <is>
        <t>№  319    от 28.02.2018</t>
      </is>
    </oc>
    <nc r="D3" t="inlineStr">
      <is>
        <t>№      от 30.03.2018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5" sId="2">
    <oc r="D3" t="inlineStr">
      <is>
        <t>№      от 30.03.2018</t>
      </is>
    </oc>
    <nc r="D3" t="inlineStr">
      <is>
        <t>№ 322  от 30.03.2018</t>
      </is>
    </nc>
  </rcc>
  <rdn rId="0" localSheetId="1" customView="1" name="Z_D0D32967_A2A4_4D09_946D_9F01A9BC030D_.wvu.FilterData" hidden="1" oldHidden="1">
    <formula>Вед2018!$E$1:$E$347</formula>
  </rdn>
  <rcv guid="{D0D32967-A2A4-4D09-946D-9F01A9BC030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4192DA8B-0FBF-4CCF-9C11-1B80048E5F6D}" name="127" id="-816147553" dateTime="2018-01-09T15:00:02"/>
  <userInfo guid="{4192DA8B-0FBF-4CCF-9C11-1B80048E5F6D}" name="128" id="-819830281" dateTime="2018-01-27T12:24:10"/>
  <userInfo guid="{3C0B0999-F626-4C4C-9BF7-761E72078F44}" name="128" id="-819807157" dateTime="2018-06-27T16:25:46"/>
  <userInfo guid="{8A018EED-BF36-4D7A-89C3-B7D7F31457BC}" name="128" id="-819792871" dateTime="2018-12-29T09:40:3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>
      <selection activeCell="G10" sqref="G10"/>
    </sheetView>
  </sheetViews>
  <sheetFormatPr defaultColWidth="9.33203125" defaultRowHeight="15.75"/>
  <cols>
    <col min="1" max="1" width="85.6640625" style="14" customWidth="1"/>
    <col min="2" max="2" width="9.83203125" style="14" customWidth="1"/>
    <col min="3" max="3" width="10.33203125" style="14" customWidth="1"/>
    <col min="4" max="4" width="17.1640625" style="23" customWidth="1"/>
    <col min="5" max="5" width="19.1640625" style="14" customWidth="1"/>
    <col min="6" max="6" width="3.1640625" style="14" customWidth="1"/>
    <col min="7" max="7" width="14.83203125" style="14" customWidth="1"/>
    <col min="8" max="8" width="12.6640625" style="14" bestFit="1" customWidth="1"/>
    <col min="9" max="16384" width="9.33203125" style="14"/>
  </cols>
  <sheetData>
    <row r="1" spans="1:6" ht="12.75" customHeight="1">
      <c r="A1" s="13"/>
      <c r="B1" s="24"/>
      <c r="C1" s="24"/>
      <c r="D1" s="24" t="s">
        <v>182</v>
      </c>
      <c r="E1" s="24"/>
    </row>
    <row r="2" spans="1:6" ht="12.75" customHeight="1">
      <c r="A2" s="13"/>
      <c r="B2" s="24"/>
      <c r="C2" s="24"/>
      <c r="D2" s="24" t="s">
        <v>73</v>
      </c>
      <c r="E2" s="24"/>
    </row>
    <row r="3" spans="1:6" ht="12.75" customHeight="1">
      <c r="A3" s="13"/>
      <c r="B3" s="24"/>
      <c r="C3" s="24"/>
      <c r="D3" s="24" t="s">
        <v>200</v>
      </c>
      <c r="E3" s="24"/>
    </row>
    <row r="4" spans="1:6" ht="13.5" customHeight="1">
      <c r="A4" s="13"/>
      <c r="B4" s="155"/>
      <c r="C4" s="155"/>
    </row>
    <row r="5" spans="1:6" s="15" customFormat="1" ht="36.6" customHeight="1" thickBot="1">
      <c r="A5" s="156" t="s">
        <v>151</v>
      </c>
      <c r="B5" s="156"/>
      <c r="C5" s="156"/>
      <c r="D5" s="157"/>
    </row>
    <row r="6" spans="1:6" s="16" customFormat="1" ht="47.25" customHeight="1" thickBot="1">
      <c r="A6" s="29" t="s">
        <v>2</v>
      </c>
      <c r="B6" s="30" t="s">
        <v>4</v>
      </c>
      <c r="C6" s="30" t="s">
        <v>5</v>
      </c>
      <c r="D6" s="31" t="s">
        <v>155</v>
      </c>
      <c r="E6" s="32" t="s">
        <v>19</v>
      </c>
    </row>
    <row r="7" spans="1:6" ht="13.5" customHeight="1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6" s="18" customFormat="1" ht="15" customHeight="1">
      <c r="A8" s="74" t="s">
        <v>8</v>
      </c>
      <c r="B8" s="17">
        <v>1</v>
      </c>
      <c r="C8" s="17">
        <v>0</v>
      </c>
      <c r="D8" s="125">
        <f>D9+D10+D12+D13+D11</f>
        <v>14256115.799999999</v>
      </c>
      <c r="E8" s="125">
        <f>E9+E10+E12+E13</f>
        <v>0</v>
      </c>
    </row>
    <row r="9" spans="1:6" ht="30.75" customHeight="1">
      <c r="A9" s="75" t="s">
        <v>10</v>
      </c>
      <c r="B9" s="19">
        <v>1</v>
      </c>
      <c r="C9" s="19">
        <v>2</v>
      </c>
      <c r="D9" s="126">
        <f>Вед2018!G14</f>
        <v>1852936.05</v>
      </c>
      <c r="E9" s="126">
        <f>Вед2018!H14</f>
        <v>0</v>
      </c>
      <c r="F9" s="95"/>
    </row>
    <row r="10" spans="1:6" ht="45.75" customHeight="1">
      <c r="A10" s="75" t="s">
        <v>11</v>
      </c>
      <c r="B10" s="19">
        <v>1</v>
      </c>
      <c r="C10" s="19">
        <v>4</v>
      </c>
      <c r="D10" s="126">
        <f>Вед2018!G22</f>
        <v>9999320.4299999978</v>
      </c>
      <c r="E10" s="126"/>
      <c r="F10" s="95"/>
    </row>
    <row r="11" spans="1:6">
      <c r="A11" s="153" t="s">
        <v>197</v>
      </c>
      <c r="B11" s="19">
        <v>1</v>
      </c>
      <c r="C11" s="19">
        <v>7</v>
      </c>
      <c r="D11" s="126">
        <f>Вед2018!G36</f>
        <v>561528</v>
      </c>
      <c r="E11" s="126"/>
      <c r="F11" s="95"/>
    </row>
    <row r="12" spans="1:6">
      <c r="A12" s="75" t="s">
        <v>1</v>
      </c>
      <c r="B12" s="19">
        <v>1</v>
      </c>
      <c r="C12" s="19">
        <v>11</v>
      </c>
      <c r="D12" s="126">
        <f>Вед2018!G41</f>
        <v>0</v>
      </c>
      <c r="E12" s="126"/>
      <c r="F12" s="95"/>
    </row>
    <row r="13" spans="1:6">
      <c r="A13" s="75" t="s">
        <v>9</v>
      </c>
      <c r="B13" s="19">
        <v>1</v>
      </c>
      <c r="C13" s="19">
        <v>13</v>
      </c>
      <c r="D13" s="126">
        <f>Вед2018!G46</f>
        <v>1842331.3200000003</v>
      </c>
      <c r="E13" s="126"/>
      <c r="F13" s="95"/>
    </row>
    <row r="14" spans="1:6" s="16" customFormat="1">
      <c r="A14" s="76" t="s">
        <v>16</v>
      </c>
      <c r="B14" s="20">
        <v>2</v>
      </c>
      <c r="C14" s="20">
        <v>0</v>
      </c>
      <c r="D14" s="127">
        <f>Вед2018!G66</f>
        <v>393800</v>
      </c>
      <c r="E14" s="127">
        <f>E15</f>
        <v>393800</v>
      </c>
      <c r="F14" s="96"/>
    </row>
    <row r="15" spans="1:6">
      <c r="A15" s="75" t="s">
        <v>17</v>
      </c>
      <c r="B15" s="19">
        <v>2</v>
      </c>
      <c r="C15" s="19">
        <v>3</v>
      </c>
      <c r="D15" s="126">
        <f>Вед2018!G66</f>
        <v>393800</v>
      </c>
      <c r="E15" s="126">
        <f>D15</f>
        <v>393800</v>
      </c>
      <c r="F15" s="95"/>
    </row>
    <row r="16" spans="1:6">
      <c r="A16" s="76" t="s">
        <v>33</v>
      </c>
      <c r="B16" s="20">
        <v>3</v>
      </c>
      <c r="C16" s="20">
        <v>0</v>
      </c>
      <c r="D16" s="128">
        <f>D17+D19+D18</f>
        <v>143320</v>
      </c>
      <c r="E16" s="128">
        <f>E17+E19</f>
        <v>45390</v>
      </c>
      <c r="F16" s="95"/>
    </row>
    <row r="17" spans="1:8">
      <c r="A17" s="75" t="s">
        <v>34</v>
      </c>
      <c r="B17" s="21">
        <v>3</v>
      </c>
      <c r="C17" s="19">
        <v>4</v>
      </c>
      <c r="D17" s="126">
        <f>Вед2018!G75</f>
        <v>45390</v>
      </c>
      <c r="E17" s="126">
        <f>D17</f>
        <v>45390</v>
      </c>
      <c r="F17" s="95"/>
    </row>
    <row r="18" spans="1:8" ht="31.5">
      <c r="A18" s="75" t="s">
        <v>42</v>
      </c>
      <c r="B18" s="21">
        <v>3</v>
      </c>
      <c r="C18" s="19">
        <v>9</v>
      </c>
      <c r="D18" s="126">
        <f>Вед2018!G88</f>
        <v>78000</v>
      </c>
      <c r="E18" s="126"/>
      <c r="F18" s="95"/>
    </row>
    <row r="19" spans="1:8" ht="31.5">
      <c r="A19" s="75" t="s">
        <v>42</v>
      </c>
      <c r="B19" s="21">
        <v>3</v>
      </c>
      <c r="C19" s="19">
        <v>14</v>
      </c>
      <c r="D19" s="126">
        <f>Вед2018!G94</f>
        <v>19930</v>
      </c>
      <c r="E19" s="126"/>
      <c r="F19" s="95"/>
    </row>
    <row r="20" spans="1:8">
      <c r="A20" s="76" t="s">
        <v>26</v>
      </c>
      <c r="B20" s="20">
        <v>4</v>
      </c>
      <c r="C20" s="20">
        <v>0</v>
      </c>
      <c r="D20" s="128">
        <f>D21+D23+D22+D24</f>
        <v>5977071.3300000001</v>
      </c>
      <c r="E20" s="128"/>
      <c r="F20" s="95"/>
    </row>
    <row r="21" spans="1:8">
      <c r="A21" s="77" t="s">
        <v>43</v>
      </c>
      <c r="B21" s="21">
        <v>4</v>
      </c>
      <c r="C21" s="19">
        <v>1</v>
      </c>
      <c r="D21" s="129">
        <f>Вед2018!G106</f>
        <v>1957142.4500000002</v>
      </c>
      <c r="E21" s="126"/>
      <c r="F21" s="95"/>
    </row>
    <row r="22" spans="1:8">
      <c r="A22" s="77" t="s">
        <v>69</v>
      </c>
      <c r="B22" s="21">
        <v>4</v>
      </c>
      <c r="C22" s="19">
        <v>9</v>
      </c>
      <c r="D22" s="129">
        <f>Вед2018!G117</f>
        <v>3657225.99</v>
      </c>
      <c r="E22" s="126"/>
      <c r="F22" s="95"/>
    </row>
    <row r="23" spans="1:8">
      <c r="A23" s="75" t="s">
        <v>27</v>
      </c>
      <c r="B23" s="19">
        <v>4</v>
      </c>
      <c r="C23" s="19">
        <v>10</v>
      </c>
      <c r="D23" s="126">
        <f>Вед2018!G127</f>
        <v>362702.89</v>
      </c>
      <c r="E23" s="126"/>
      <c r="F23" s="95"/>
    </row>
    <row r="24" spans="1:8">
      <c r="A24" s="75" t="s">
        <v>75</v>
      </c>
      <c r="B24" s="19">
        <v>4</v>
      </c>
      <c r="C24" s="19">
        <v>12</v>
      </c>
      <c r="D24" s="126">
        <v>0</v>
      </c>
      <c r="E24" s="126"/>
      <c r="F24" s="95"/>
    </row>
    <row r="25" spans="1:8" s="18" customFormat="1">
      <c r="A25" s="74" t="s">
        <v>14</v>
      </c>
      <c r="B25" s="17">
        <v>5</v>
      </c>
      <c r="C25" s="17">
        <v>0</v>
      </c>
      <c r="D25" s="125">
        <f>D27+D28+D26+D29</f>
        <v>12437687.15</v>
      </c>
      <c r="E25" s="125"/>
      <c r="F25" s="97"/>
    </row>
    <row r="26" spans="1:8" s="18" customFormat="1">
      <c r="A26" s="77" t="s">
        <v>66</v>
      </c>
      <c r="B26" s="21">
        <v>5</v>
      </c>
      <c r="C26" s="21">
        <v>1</v>
      </c>
      <c r="D26" s="130">
        <f>Вед2018!G134</f>
        <v>41703.17</v>
      </c>
      <c r="E26" s="125"/>
      <c r="F26" s="97"/>
    </row>
    <row r="27" spans="1:8" s="18" customFormat="1">
      <c r="A27" s="77" t="s">
        <v>44</v>
      </c>
      <c r="B27" s="21">
        <v>5</v>
      </c>
      <c r="C27" s="21">
        <v>2</v>
      </c>
      <c r="D27" s="130">
        <f>Вед2018!G143</f>
        <v>6923034.2999999998</v>
      </c>
      <c r="E27" s="130"/>
      <c r="F27" s="97"/>
    </row>
    <row r="28" spans="1:8">
      <c r="A28" s="75" t="s">
        <v>18</v>
      </c>
      <c r="B28" s="19">
        <v>5</v>
      </c>
      <c r="C28" s="19">
        <v>3</v>
      </c>
      <c r="D28" s="126">
        <f>Вед2018!G151</f>
        <v>5131802.68</v>
      </c>
      <c r="E28" s="126"/>
      <c r="F28" s="95"/>
      <c r="H28" s="47"/>
    </row>
    <row r="29" spans="1:8">
      <c r="A29" s="75" t="s">
        <v>131</v>
      </c>
      <c r="B29" s="19">
        <v>5</v>
      </c>
      <c r="C29" s="19">
        <v>5</v>
      </c>
      <c r="D29" s="126">
        <f>Вед2018!G178</f>
        <v>341147</v>
      </c>
      <c r="E29" s="126"/>
      <c r="F29" s="95"/>
      <c r="H29" s="47"/>
    </row>
    <row r="30" spans="1:8" s="18" customFormat="1">
      <c r="A30" s="74" t="s">
        <v>12</v>
      </c>
      <c r="B30" s="17">
        <v>7</v>
      </c>
      <c r="C30" s="17">
        <v>0</v>
      </c>
      <c r="D30" s="125">
        <f>D31</f>
        <v>208510.96</v>
      </c>
      <c r="E30" s="125"/>
      <c r="F30" s="97"/>
    </row>
    <row r="31" spans="1:8">
      <c r="A31" s="75" t="s">
        <v>15</v>
      </c>
      <c r="B31" s="19">
        <v>7</v>
      </c>
      <c r="C31" s="19">
        <v>7</v>
      </c>
      <c r="D31" s="126">
        <f>Вед2018!G187</f>
        <v>208510.96</v>
      </c>
      <c r="E31" s="126"/>
      <c r="F31" s="98"/>
    </row>
    <row r="32" spans="1:8" s="18" customFormat="1" ht="13.5" customHeight="1">
      <c r="A32" s="74" t="s">
        <v>38</v>
      </c>
      <c r="B32" s="17">
        <v>8</v>
      </c>
      <c r="C32" s="17">
        <v>0</v>
      </c>
      <c r="D32" s="125">
        <f>D33</f>
        <v>24450575.755999997</v>
      </c>
      <c r="E32" s="125"/>
      <c r="F32" s="48"/>
    </row>
    <row r="33" spans="1:8">
      <c r="A33" s="75" t="s">
        <v>13</v>
      </c>
      <c r="B33" s="19">
        <v>8</v>
      </c>
      <c r="C33" s="19">
        <v>1</v>
      </c>
      <c r="D33" s="126">
        <f>Вед2018!G203</f>
        <v>24450575.755999997</v>
      </c>
      <c r="E33" s="126"/>
      <c r="F33" s="98"/>
    </row>
    <row r="34" spans="1:8">
      <c r="A34" s="76" t="s">
        <v>28</v>
      </c>
      <c r="B34" s="20">
        <v>10</v>
      </c>
      <c r="C34" s="20">
        <v>0</v>
      </c>
      <c r="D34" s="128">
        <f>D35</f>
        <v>360000</v>
      </c>
      <c r="E34" s="131"/>
      <c r="F34" s="95"/>
    </row>
    <row r="35" spans="1:8">
      <c r="A35" s="77" t="s">
        <v>29</v>
      </c>
      <c r="B35" s="21">
        <v>10</v>
      </c>
      <c r="C35" s="21">
        <v>1</v>
      </c>
      <c r="D35" s="129">
        <f>Вед2018!G243</f>
        <v>360000</v>
      </c>
      <c r="E35" s="131"/>
      <c r="F35" s="95"/>
    </row>
    <row r="36" spans="1:8">
      <c r="A36" s="76" t="s">
        <v>76</v>
      </c>
      <c r="B36" s="20">
        <v>11</v>
      </c>
      <c r="C36" s="20">
        <v>0</v>
      </c>
      <c r="D36" s="132">
        <f>D37</f>
        <v>0</v>
      </c>
      <c r="E36" s="133"/>
    </row>
    <row r="37" spans="1:8">
      <c r="A37" s="77" t="s">
        <v>77</v>
      </c>
      <c r="B37" s="21">
        <v>11</v>
      </c>
      <c r="C37" s="21">
        <v>1</v>
      </c>
      <c r="D37" s="134">
        <v>0</v>
      </c>
      <c r="E37" s="133"/>
    </row>
    <row r="38" spans="1:8">
      <c r="A38" s="76" t="s">
        <v>30</v>
      </c>
      <c r="B38" s="20">
        <v>12</v>
      </c>
      <c r="C38" s="20">
        <v>0</v>
      </c>
      <c r="D38" s="132">
        <f>D39</f>
        <v>28000</v>
      </c>
      <c r="E38" s="135"/>
    </row>
    <row r="39" spans="1:8">
      <c r="A39" s="75" t="s">
        <v>31</v>
      </c>
      <c r="B39" s="19">
        <v>12</v>
      </c>
      <c r="C39" s="19">
        <v>4</v>
      </c>
      <c r="D39" s="135">
        <f>Вед2018!G251</f>
        <v>28000</v>
      </c>
      <c r="E39" s="135"/>
    </row>
    <row r="40" spans="1:8" ht="15.75" customHeight="1" thickBot="1">
      <c r="A40" s="73" t="s">
        <v>20</v>
      </c>
      <c r="B40" s="154"/>
      <c r="C40" s="154"/>
      <c r="D40" s="136">
        <f>D8+D14+D20+D25+D30+D32+D38+D16+D34+D36</f>
        <v>58255080.995999999</v>
      </c>
      <c r="E40" s="136">
        <f>E32+E30+E25+E14+E8+E16+E20</f>
        <v>439190</v>
      </c>
      <c r="G40" s="47"/>
      <c r="H40" s="144"/>
    </row>
    <row r="41" spans="1:8">
      <c r="A41" s="22"/>
      <c r="B41" s="22"/>
      <c r="C41" s="22"/>
    </row>
    <row r="42" spans="1:8">
      <c r="D42" s="26"/>
    </row>
    <row r="45" spans="1:8">
      <c r="D45" s="26"/>
    </row>
    <row r="46" spans="1:8">
      <c r="D46" s="26"/>
    </row>
    <row r="50" spans="4:7">
      <c r="D50" s="26"/>
    </row>
    <row r="51" spans="4:7">
      <c r="G51" s="26"/>
    </row>
  </sheetData>
  <customSheetViews>
    <customSheetView guid="{1D456867-ECB1-4D8E-874D-17CC7019B8E5}" showPageBreaks="1" fitToPage="1">
      <selection activeCell="G10" sqref="G10"/>
      <pageMargins left="1.19" right="0.15748031496062992" top="0.5" bottom="0.51" header="0.51181102362204722" footer="0.51181102362204722"/>
      <pageSetup paperSize="9" scale="69" fitToHeight="2" orientation="portrait" r:id="rId1"/>
      <headerFooter alignWithMargins="0"/>
    </customSheetView>
    <customSheetView guid="{92CDF3B4-C714-4C4F-B6E7-8E2145A85B5B}" fitToPage="1" topLeftCell="A7">
      <selection activeCell="D9" sqref="D9"/>
      <pageMargins left="1.19" right="0.15748031496062992" top="0.5" bottom="0.51" header="0.51181102362204722" footer="0.51181102362204722"/>
      <pageSetup paperSize="9" scale="69" fitToHeight="2" orientation="portrait" r:id="rId2"/>
      <headerFooter alignWithMargins="0"/>
    </customSheetView>
    <customSheetView guid="{D0D32967-A2A4-4D09-946D-9F01A9BC030D}" fitToPage="1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3"/>
      <headerFooter alignWithMargins="0"/>
    </customSheetView>
    <customSheetView guid="{1907A0D4-1A04-46C7-BA13-828BC6B0DA3F}" showPageBreaks="1" fitToPage="1">
      <selection activeCell="G6" sqref="G6"/>
      <pageMargins left="1.19" right="0.15748031496062992" top="0.5" bottom="0.51" header="0.51181102362204722" footer="0.51181102362204722"/>
      <pageSetup paperSize="9" fitToHeight="2" orientation="landscape" r:id="rId4"/>
      <headerFooter alignWithMargins="0"/>
    </customSheetView>
    <customSheetView guid="{37E59057-FA9A-4499-A67F-A3B4FE9F3836}" fitToPage="1">
      <selection activeCell="D3" sqref="D3"/>
      <pageMargins left="1.19" right="0.15748031496062992" top="0.5" bottom="0.51" header="0.51181102362204722" footer="0.51181102362204722"/>
      <pageSetup paperSize="9" scale="69" fitToHeight="2" orientation="portrait" r:id="rId5"/>
      <headerFooter alignWithMargins="0"/>
    </customSheetView>
    <customSheetView guid="{904EEE15-F689-401B-A578-41B4FD2E001F}" showPageBreaks="1" fitToPage="1" topLeftCell="A10">
      <selection activeCell="D1" sqref="D1"/>
      <pageMargins left="1.19" right="0.15748031496062992" top="0.5" bottom="0.51" header="0.51181102362204722" footer="0.51181102362204722"/>
      <pageSetup paperSize="9" scale="69" fitToHeight="2" orientation="portrait" r:id="rId6"/>
      <headerFooter alignWithMargins="0"/>
    </customSheetView>
    <customSheetView guid="{0ACD4CF0-131D-4AF9-8EA8-EB7D45CA4E62}" showPageBreaks="1" fitToPage="1" hiddenRows="1" showRuler="0">
      <selection activeCell="D4" sqref="D4"/>
      <pageMargins left="1.19" right="0.15748031496062992" top="0.5" bottom="0.51" header="0.51181102362204722" footer="0.51181102362204722"/>
      <pageSetup paperSize="9" scale="67" fitToHeight="2" orientation="portrait" r:id="rId7"/>
      <headerFooter alignWithMargins="0"/>
    </customSheetView>
    <customSheetView guid="{CF820AF5-4BA7-438F-997C-2DECDEF7692C}" showPageBreaks="1" fitToPage="1" hiddenRows="1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8"/>
      <headerFooter alignWithMargins="0"/>
    </customSheetView>
    <customSheetView guid="{29832ADE-E753-4B19-A9AD-744B0F1D561C}" showPageBreaks="1" fitToPage="1" hiddenRows="1" showRuler="0">
      <selection activeCell="D3" sqref="D3"/>
      <pageMargins left="1.19" right="0.15748031496062992" top="0.5" bottom="0.51" header="0.51181102362204722" footer="0.51181102362204722"/>
      <pageSetup paperSize="9" scale="67" fitToHeight="2" orientation="portrait" r:id="rId9"/>
      <headerFooter alignWithMargins="0"/>
    </customSheetView>
    <customSheetView guid="{C9E7C3F5-D873-4B13-B6C1-5028AF66D368}" showPageBreaks="1" fitToPage="1" hiddenRows="1" showRuler="0">
      <selection activeCell="D1" sqref="D1:D3"/>
      <pageMargins left="1.19" right="0.15748031496062992" top="0.5" bottom="0.51" header="0.51181102362204722" footer="0.51181102362204722"/>
      <pageSetup paperSize="9" scale="69" fitToHeight="2" orientation="portrait" r:id="rId10"/>
      <headerFooter alignWithMargins="0"/>
    </customSheetView>
    <customSheetView guid="{F21A4357-4490-4DC5-AD5F-D74077CDC8A9}" showPageBreaks="1" fitToPage="1" hiddenRows="1" hiddenColumns="1" showRuler="0">
      <selection activeCell="C6" sqref="C6"/>
      <pageMargins left="0.35433070866141736" right="0.15748031496062992" top="0.5" bottom="0.51" header="0.51181102362204722" footer="0.51181102362204722"/>
      <pageSetup paperSize="9" scale="62" fitToHeight="2" orientation="portrait" r:id="rId11"/>
      <headerFooter alignWithMargins="0"/>
    </customSheetView>
    <customSheetView guid="{4AFE580B-5859-43EA-97A2-5651E4714E35}" fitToPage="1" showRuler="0" topLeftCell="A13">
      <selection activeCell="D32" sqref="D32"/>
      <pageMargins left="0.35433070866141736" right="0.15748031496062992" top="0.5" bottom="0.51" header="0.51181102362204722" footer="0.51181102362204722"/>
      <pageSetup paperSize="9" scale="68" fitToHeight="2" orientation="portrait" r:id="rId12"/>
      <headerFooter alignWithMargins="0"/>
    </customSheetView>
    <customSheetView guid="{6646D18D-37BA-4A1B-B8A1-44C68A7B234E}" fitToPage="1" showRuler="0" topLeftCell="A34">
      <selection activeCell="D60" sqref="D60"/>
      <pageMargins left="0.35433070866141736" right="0.15748031496062992" top="0.5" bottom="0.51" header="0.51181102362204722" footer="0.51181102362204722"/>
      <pageSetup paperSize="9" scale="68" fitToHeight="2" orientation="portrait" r:id="rId13"/>
      <headerFooter alignWithMargins="0"/>
    </customSheetView>
    <customSheetView guid="{F302894A-CF82-456A-A20A-50CE2A9DD3D8}" fitToPage="1" showRuler="0">
      <selection activeCell="A18" sqref="A18:IV18"/>
      <pageMargins left="0.35433070866141736" right="0.15748031496062992" top="0.5" bottom="0.51" header="0.51181102362204722" footer="0.51181102362204722"/>
      <pageSetup paperSize="9" scale="68" fitToHeight="2" orientation="portrait" r:id="rId14"/>
      <headerFooter alignWithMargins="0"/>
    </customSheetView>
    <customSheetView guid="{36478EFE-DDFF-4CC3-A0EE-AB3E13284FF8}" fitToPage="1" hiddenRows="1" showRuler="0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15"/>
      <headerFooter alignWithMargins="0"/>
    </customSheetView>
    <customSheetView guid="{0FBBC42C-2EE2-4818-A608-26471E234100}" showPageBreaks="1" fitToPage="1" hiddenRows="1" showRuler="0" topLeftCell="A7">
      <selection activeCell="D19" sqref="D19"/>
      <pageMargins left="1.19" right="0.15748031496062992" top="0.5" bottom="0.51" header="0.51181102362204722" footer="0.51181102362204722"/>
      <pageSetup paperSize="9" scale="67" fitToHeight="2" orientation="portrait" r:id="rId16"/>
      <headerFooter alignWithMargins="0"/>
    </customSheetView>
    <customSheetView guid="{57844251-B758-4481-8918-10B3DC9EDEC9}" fitToPage="1" hiddenRows="1" topLeftCell="A16">
      <selection activeCell="E23" sqref="E23"/>
      <pageMargins left="1.19" right="0.15748031496062992" top="0.5" bottom="0.51" header="0.51181102362204722" footer="0.51181102362204722"/>
      <pageSetup paperSize="9" scale="67" fitToHeight="2" orientation="portrait" r:id="rId17"/>
      <headerFooter alignWithMargins="0"/>
    </customSheetView>
    <customSheetView guid="{E174612B-43F1-44FB-9D84-33D2477DA935}" fitToPage="1" showRuler="0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18"/>
      <headerFooter alignWithMargins="0"/>
    </customSheetView>
    <customSheetView guid="{50CBCF93-2CCE-46AB-B05B-EAEB477D4633}" fitToPage="1">
      <selection activeCell="C10" sqref="C10"/>
      <pageMargins left="1.19" right="0.15748031496062992" top="0.5" bottom="0.51" header="0.51181102362204722" footer="0.51181102362204722"/>
      <pageSetup paperSize="9" scale="69" fitToHeight="2" orientation="portrait" r:id="rId19"/>
      <headerFooter alignWithMargins="0"/>
    </customSheetView>
    <customSheetView guid="{4F39DA5C-9059-406E-9F89-B6E20F660542}" showPageBreaks="1" fitToPage="1" hiddenRows="1" topLeftCell="A10">
      <selection activeCell="A33" sqref="A33"/>
      <pageMargins left="1.19" right="0.15748031496062992" top="0.5" bottom="0.51" header="0.51181102362204722" footer="0.51181102362204722"/>
      <pageSetup paperSize="9" scale="69" fitToHeight="2" orientation="portrait" r:id="rId20"/>
      <headerFooter alignWithMargins="0"/>
    </customSheetView>
  </customSheetViews>
  <mergeCells count="3">
    <mergeCell ref="B40:C40"/>
    <mergeCell ref="B4:C4"/>
    <mergeCell ref="A5:D5"/>
  </mergeCells>
  <phoneticPr fontId="0" type="noConversion"/>
  <pageMargins left="1.19" right="0.15748031496062992" top="0.5" bottom="0.51" header="0.51181102362204722" footer="0.51181102362204722"/>
  <pageSetup paperSize="9" scale="69" fitToHeight="2" orientation="portrait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autoPageBreaks="0" fitToPage="1"/>
  </sheetPr>
  <dimension ref="A1:I385"/>
  <sheetViews>
    <sheetView tabSelected="1" zoomScaleNormal="100" zoomScaleSheetLayoutView="106" workbookViewId="0">
      <selection activeCell="A5" sqref="A5:H5"/>
    </sheetView>
  </sheetViews>
  <sheetFormatPr defaultColWidth="9.33203125" defaultRowHeight="12.75"/>
  <cols>
    <col min="1" max="1" width="63.83203125" style="2" customWidth="1"/>
    <col min="2" max="2" width="5.6640625" style="2" customWidth="1"/>
    <col min="3" max="3" width="5.1640625" style="2" customWidth="1"/>
    <col min="4" max="4" width="7.33203125" style="2" customWidth="1"/>
    <col min="5" max="5" width="13.6640625" style="84" customWidth="1"/>
    <col min="6" max="6" width="5.1640625" style="2" customWidth="1"/>
    <col min="7" max="7" width="15.1640625" style="9" customWidth="1"/>
    <col min="8" max="8" width="11.83203125" style="2" customWidth="1"/>
    <col min="9" max="9" width="14" style="2" bestFit="1" customWidth="1"/>
    <col min="10" max="16384" width="9.33203125" style="2"/>
  </cols>
  <sheetData>
    <row r="1" spans="1:9" ht="12.75" customHeight="1">
      <c r="A1" s="1"/>
      <c r="B1" s="1"/>
      <c r="C1" s="1"/>
      <c r="E1" s="24" t="s">
        <v>214</v>
      </c>
      <c r="F1" s="9" t="s">
        <v>215</v>
      </c>
    </row>
    <row r="2" spans="1:9" ht="12.75" customHeight="1">
      <c r="A2" s="1"/>
      <c r="B2" s="1"/>
      <c r="C2" s="1"/>
      <c r="E2" s="24" t="s">
        <v>74</v>
      </c>
      <c r="F2" s="9"/>
    </row>
    <row r="3" spans="1:9" ht="12.75" customHeight="1">
      <c r="A3" s="1"/>
      <c r="B3" s="1"/>
      <c r="C3" s="1"/>
      <c r="E3" s="99" t="s">
        <v>158</v>
      </c>
      <c r="F3" s="2" t="s">
        <v>212</v>
      </c>
      <c r="G3" s="100" t="s">
        <v>213</v>
      </c>
      <c r="H3" s="101"/>
    </row>
    <row r="4" spans="1:9" ht="12.75" customHeight="1">
      <c r="A4" s="1"/>
      <c r="B4" s="1"/>
      <c r="C4" s="1"/>
      <c r="F4" s="3"/>
      <c r="G4" s="79"/>
    </row>
    <row r="5" spans="1:9" s="4" customFormat="1" ht="15.75">
      <c r="A5" s="158"/>
      <c r="B5" s="158"/>
      <c r="C5" s="158"/>
      <c r="D5" s="158"/>
      <c r="E5" s="158"/>
      <c r="F5" s="158"/>
      <c r="G5" s="158"/>
      <c r="H5" s="158"/>
    </row>
    <row r="6" spans="1:9" s="4" customFormat="1" ht="15.75">
      <c r="A6" s="158" t="s">
        <v>45</v>
      </c>
      <c r="B6" s="158"/>
      <c r="C6" s="158"/>
      <c r="D6" s="158"/>
      <c r="E6" s="158"/>
      <c r="F6" s="158"/>
      <c r="G6" s="158"/>
      <c r="H6" s="158"/>
    </row>
    <row r="7" spans="1:9" s="4" customFormat="1" ht="15.75">
      <c r="A7" s="158" t="s">
        <v>78</v>
      </c>
      <c r="B7" s="158"/>
      <c r="C7" s="158"/>
      <c r="D7" s="158"/>
      <c r="E7" s="158"/>
      <c r="F7" s="158"/>
      <c r="G7" s="158"/>
      <c r="H7" s="158"/>
    </row>
    <row r="8" spans="1:9" s="4" customFormat="1" ht="15.75">
      <c r="A8" s="158" t="s">
        <v>152</v>
      </c>
      <c r="B8" s="158"/>
      <c r="C8" s="158"/>
      <c r="D8" s="158"/>
      <c r="E8" s="158"/>
      <c r="F8" s="158"/>
      <c r="G8" s="158"/>
      <c r="H8" s="158"/>
    </row>
    <row r="9" spans="1:9" s="4" customFormat="1" ht="16.5" thickBot="1">
      <c r="A9" s="158"/>
      <c r="B9" s="158"/>
      <c r="C9" s="158"/>
      <c r="D9" s="158"/>
      <c r="E9" s="158"/>
      <c r="F9" s="158"/>
      <c r="G9" s="158"/>
      <c r="H9" s="158"/>
    </row>
    <row r="10" spans="1:9" ht="60.75" customHeight="1">
      <c r="A10" s="38" t="s">
        <v>2</v>
      </c>
      <c r="B10" s="39" t="s">
        <v>3</v>
      </c>
      <c r="C10" s="39" t="s">
        <v>4</v>
      </c>
      <c r="D10" s="39" t="s">
        <v>5</v>
      </c>
      <c r="E10" s="93" t="s">
        <v>6</v>
      </c>
      <c r="F10" s="39" t="s">
        <v>7</v>
      </c>
      <c r="G10" s="40" t="s">
        <v>154</v>
      </c>
      <c r="H10" s="41" t="s">
        <v>19</v>
      </c>
    </row>
    <row r="11" spans="1:9" ht="12.75" customHeight="1">
      <c r="A11" s="42">
        <v>1</v>
      </c>
      <c r="B11" s="5">
        <v>2</v>
      </c>
      <c r="C11" s="5">
        <v>3</v>
      </c>
      <c r="D11" s="5">
        <v>4</v>
      </c>
      <c r="E11" s="94">
        <v>5</v>
      </c>
      <c r="F11" s="5">
        <v>6</v>
      </c>
      <c r="G11" s="5">
        <v>7</v>
      </c>
      <c r="H11" s="43">
        <v>8</v>
      </c>
    </row>
    <row r="12" spans="1:9">
      <c r="A12" s="44" t="s">
        <v>79</v>
      </c>
      <c r="B12" s="35">
        <v>650</v>
      </c>
      <c r="C12" s="35"/>
      <c r="D12" s="35"/>
      <c r="E12" s="85"/>
      <c r="F12" s="35"/>
      <c r="G12" s="104">
        <f>G13+G66+G74+G105+G133+G187+G202+G242+G250+G36+G183</f>
        <v>58387031.276000001</v>
      </c>
      <c r="H12" s="105">
        <f>H66+H74+H95+H106+H143+H183</f>
        <v>440791.46</v>
      </c>
      <c r="I12" s="124"/>
    </row>
    <row r="13" spans="1:9" s="49" customFormat="1">
      <c r="A13" s="46" t="s">
        <v>8</v>
      </c>
      <c r="B13" s="11">
        <v>650</v>
      </c>
      <c r="C13" s="12">
        <v>1</v>
      </c>
      <c r="D13" s="52"/>
      <c r="E13" s="86"/>
      <c r="F13" s="11"/>
      <c r="G13" s="106">
        <f>G14+G22+G41+G46+G61</f>
        <v>13824936.619999999</v>
      </c>
      <c r="H13" s="107"/>
    </row>
    <row r="14" spans="1:9" ht="26.25" customHeight="1">
      <c r="A14" s="46" t="s">
        <v>10</v>
      </c>
      <c r="B14" s="6">
        <v>650</v>
      </c>
      <c r="C14" s="7">
        <v>1</v>
      </c>
      <c r="D14" s="8">
        <v>2</v>
      </c>
      <c r="E14" s="87"/>
      <c r="F14" s="6"/>
      <c r="G14" s="108">
        <f>G15</f>
        <v>1852936.05</v>
      </c>
      <c r="H14" s="109"/>
    </row>
    <row r="15" spans="1:9" ht="40.5" customHeight="1">
      <c r="A15" s="143" t="s">
        <v>138</v>
      </c>
      <c r="B15" s="6">
        <v>650</v>
      </c>
      <c r="C15" s="7">
        <v>1</v>
      </c>
      <c r="D15" s="8">
        <v>2</v>
      </c>
      <c r="E15" s="87" t="s">
        <v>60</v>
      </c>
      <c r="F15" s="6"/>
      <c r="G15" s="108">
        <f>G18</f>
        <v>1852936.05</v>
      </c>
      <c r="H15" s="109"/>
    </row>
    <row r="16" spans="1:9" ht="68.25" customHeight="1">
      <c r="A16" s="143" t="s">
        <v>140</v>
      </c>
      <c r="B16" s="6">
        <v>650</v>
      </c>
      <c r="C16" s="7">
        <v>1</v>
      </c>
      <c r="D16" s="8">
        <v>2</v>
      </c>
      <c r="E16" s="87" t="s">
        <v>166</v>
      </c>
      <c r="F16" s="6"/>
      <c r="G16" s="108">
        <f>G17</f>
        <v>1852936.05</v>
      </c>
      <c r="H16" s="109"/>
    </row>
    <row r="17" spans="1:9" ht="18.75" customHeight="1">
      <c r="A17" s="143" t="s">
        <v>139</v>
      </c>
      <c r="B17" s="6">
        <v>650</v>
      </c>
      <c r="C17" s="7">
        <v>1</v>
      </c>
      <c r="D17" s="8">
        <v>2</v>
      </c>
      <c r="E17" s="87" t="s">
        <v>167</v>
      </c>
      <c r="F17" s="6"/>
      <c r="G17" s="108">
        <f>G18</f>
        <v>1852936.05</v>
      </c>
      <c r="H17" s="109"/>
    </row>
    <row r="18" spans="1:9" ht="51" customHeight="1">
      <c r="A18" s="45" t="s">
        <v>100</v>
      </c>
      <c r="B18" s="6">
        <v>650</v>
      </c>
      <c r="C18" s="7">
        <v>1</v>
      </c>
      <c r="D18" s="8">
        <v>2</v>
      </c>
      <c r="E18" s="87" t="s">
        <v>167</v>
      </c>
      <c r="F18" s="6">
        <v>100</v>
      </c>
      <c r="G18" s="110">
        <f>G19</f>
        <v>1852936.05</v>
      </c>
      <c r="H18" s="109"/>
    </row>
    <row r="19" spans="1:9" ht="29.25" customHeight="1">
      <c r="A19" s="45" t="s">
        <v>98</v>
      </c>
      <c r="B19" s="6">
        <v>650</v>
      </c>
      <c r="C19" s="7">
        <v>1</v>
      </c>
      <c r="D19" s="8">
        <v>2</v>
      </c>
      <c r="E19" s="87" t="s">
        <v>167</v>
      </c>
      <c r="F19" s="6">
        <v>120</v>
      </c>
      <c r="G19" s="110">
        <f>G20+G21</f>
        <v>1852936.05</v>
      </c>
      <c r="H19" s="109"/>
      <c r="I19" s="124"/>
    </row>
    <row r="20" spans="1:9" ht="14.25" customHeight="1">
      <c r="A20" s="45" t="s">
        <v>99</v>
      </c>
      <c r="B20" s="6">
        <v>650</v>
      </c>
      <c r="C20" s="7">
        <v>1</v>
      </c>
      <c r="D20" s="8">
        <v>2</v>
      </c>
      <c r="E20" s="87" t="s">
        <v>167</v>
      </c>
      <c r="F20" s="6">
        <v>121</v>
      </c>
      <c r="G20" s="110">
        <f>1072200+169060.02+25905.46+46669.73+17554.01+146930.32</f>
        <v>1478319.54</v>
      </c>
      <c r="H20" s="109"/>
    </row>
    <row r="21" spans="1:9" ht="38.25" customHeight="1">
      <c r="A21" s="45" t="s">
        <v>70</v>
      </c>
      <c r="B21" s="6">
        <v>650</v>
      </c>
      <c r="C21" s="7">
        <v>1</v>
      </c>
      <c r="D21" s="8">
        <v>2</v>
      </c>
      <c r="E21" s="87" t="s">
        <v>167</v>
      </c>
      <c r="F21" s="6">
        <v>129</v>
      </c>
      <c r="G21" s="110">
        <f>323800+51056.13-25905.46+25665.84</f>
        <v>374616.51</v>
      </c>
      <c r="H21" s="109"/>
    </row>
    <row r="22" spans="1:9" ht="40.5" customHeight="1">
      <c r="A22" s="46" t="s">
        <v>11</v>
      </c>
      <c r="B22" s="6">
        <v>650</v>
      </c>
      <c r="C22" s="7">
        <v>1</v>
      </c>
      <c r="D22" s="8">
        <v>4</v>
      </c>
      <c r="E22" s="87"/>
      <c r="F22" s="6"/>
      <c r="G22" s="108">
        <f>G23</f>
        <v>9999320.4299999978</v>
      </c>
      <c r="H22" s="111"/>
    </row>
    <row r="23" spans="1:9" ht="40.5" customHeight="1">
      <c r="A23" s="45" t="s">
        <v>138</v>
      </c>
      <c r="B23" s="6">
        <v>650</v>
      </c>
      <c r="C23" s="7">
        <v>1</v>
      </c>
      <c r="D23" s="8">
        <v>4</v>
      </c>
      <c r="E23" s="87" t="s">
        <v>60</v>
      </c>
      <c r="F23" s="6"/>
      <c r="G23" s="108">
        <f>G24</f>
        <v>9999320.4299999978</v>
      </c>
      <c r="H23" s="111"/>
    </row>
    <row r="24" spans="1:9" ht="65.25" customHeight="1">
      <c r="A24" s="45" t="s">
        <v>140</v>
      </c>
      <c r="B24" s="6">
        <v>650</v>
      </c>
      <c r="C24" s="7">
        <v>1</v>
      </c>
      <c r="D24" s="8">
        <v>4</v>
      </c>
      <c r="E24" s="87" t="s">
        <v>166</v>
      </c>
      <c r="F24" s="6"/>
      <c r="G24" s="108">
        <f>G25+G26</f>
        <v>9999320.4299999978</v>
      </c>
      <c r="H24" s="111"/>
    </row>
    <row r="25" spans="1:9" ht="27.75" customHeight="1">
      <c r="A25" s="45" t="s">
        <v>112</v>
      </c>
      <c r="B25" s="6">
        <v>650</v>
      </c>
      <c r="C25" s="7">
        <v>1</v>
      </c>
      <c r="D25" s="8">
        <v>4</v>
      </c>
      <c r="E25" s="87" t="s">
        <v>168</v>
      </c>
      <c r="F25" s="6"/>
      <c r="G25" s="108">
        <f>G30+G34</f>
        <v>9455654.9799999986</v>
      </c>
      <c r="H25" s="111"/>
    </row>
    <row r="26" spans="1:9" ht="27.75" customHeight="1">
      <c r="A26" s="45" t="s">
        <v>100</v>
      </c>
      <c r="B26" s="6">
        <v>650</v>
      </c>
      <c r="C26" s="7">
        <v>1</v>
      </c>
      <c r="D26" s="8">
        <v>4</v>
      </c>
      <c r="E26" s="87" t="s">
        <v>191</v>
      </c>
      <c r="F26" s="6">
        <v>100</v>
      </c>
      <c r="G26" s="108">
        <f>G27</f>
        <v>543665.44999999995</v>
      </c>
      <c r="H26" s="111"/>
    </row>
    <row r="27" spans="1:9" ht="27.75" customHeight="1">
      <c r="A27" s="45" t="s">
        <v>104</v>
      </c>
      <c r="B27" s="6">
        <v>650</v>
      </c>
      <c r="C27" s="7">
        <v>1</v>
      </c>
      <c r="D27" s="8">
        <v>4</v>
      </c>
      <c r="E27" s="87" t="s">
        <v>191</v>
      </c>
      <c r="F27" s="6">
        <v>120</v>
      </c>
      <c r="G27" s="110">
        <f>G28+G29</f>
        <v>543665.44999999995</v>
      </c>
      <c r="H27" s="109"/>
      <c r="I27" s="124"/>
    </row>
    <row r="28" spans="1:9" ht="27.75" customHeight="1">
      <c r="A28" s="45" t="s">
        <v>101</v>
      </c>
      <c r="B28" s="6">
        <v>650</v>
      </c>
      <c r="C28" s="7">
        <v>1</v>
      </c>
      <c r="D28" s="8">
        <v>4</v>
      </c>
      <c r="E28" s="87" t="s">
        <v>191</v>
      </c>
      <c r="F28" s="6">
        <v>121</v>
      </c>
      <c r="G28" s="110">
        <f>384025+34083.1</f>
        <v>418108.1</v>
      </c>
      <c r="H28" s="109"/>
    </row>
    <row r="29" spans="1:9" ht="27.75" customHeight="1">
      <c r="A29" s="45" t="s">
        <v>70</v>
      </c>
      <c r="B29" s="6">
        <v>650</v>
      </c>
      <c r="C29" s="7">
        <v>1</v>
      </c>
      <c r="D29" s="8">
        <v>4</v>
      </c>
      <c r="E29" s="87" t="s">
        <v>191</v>
      </c>
      <c r="F29" s="6">
        <v>129</v>
      </c>
      <c r="G29" s="110">
        <f>115975+9582.35</f>
        <v>125557.35</v>
      </c>
      <c r="H29" s="109"/>
    </row>
    <row r="30" spans="1:9" ht="53.25" customHeight="1">
      <c r="A30" s="45" t="s">
        <v>100</v>
      </c>
      <c r="B30" s="6">
        <v>650</v>
      </c>
      <c r="C30" s="7">
        <v>1</v>
      </c>
      <c r="D30" s="8">
        <v>4</v>
      </c>
      <c r="E30" s="87" t="s">
        <v>168</v>
      </c>
      <c r="F30" s="6">
        <v>100</v>
      </c>
      <c r="G30" s="108">
        <f>G31</f>
        <v>9160608.9799999986</v>
      </c>
      <c r="H30" s="111"/>
    </row>
    <row r="31" spans="1:9" ht="28.5" customHeight="1">
      <c r="A31" s="45" t="s">
        <v>104</v>
      </c>
      <c r="B31" s="6">
        <v>650</v>
      </c>
      <c r="C31" s="7">
        <v>1</v>
      </c>
      <c r="D31" s="8">
        <v>4</v>
      </c>
      <c r="E31" s="87" t="s">
        <v>168</v>
      </c>
      <c r="F31" s="6">
        <v>120</v>
      </c>
      <c r="G31" s="110">
        <f>G32+G33</f>
        <v>9160608.9799999986</v>
      </c>
      <c r="H31" s="109"/>
      <c r="I31" s="124"/>
    </row>
    <row r="32" spans="1:9" ht="16.5" customHeight="1">
      <c r="A32" s="45" t="s">
        <v>101</v>
      </c>
      <c r="B32" s="6">
        <v>650</v>
      </c>
      <c r="C32" s="7">
        <v>1</v>
      </c>
      <c r="D32" s="8">
        <v>4</v>
      </c>
      <c r="E32" s="87" t="s">
        <v>168</v>
      </c>
      <c r="F32" s="6">
        <v>121</v>
      </c>
      <c r="G32" s="110">
        <f>5956500+290993.89+58227.6+663678.59</f>
        <v>6969400.0799999991</v>
      </c>
      <c r="H32" s="109"/>
    </row>
    <row r="33" spans="1:9" ht="41.25" customHeight="1">
      <c r="A33" s="45" t="s">
        <v>70</v>
      </c>
      <c r="B33" s="6">
        <v>650</v>
      </c>
      <c r="C33" s="7">
        <v>1</v>
      </c>
      <c r="D33" s="8">
        <v>4</v>
      </c>
      <c r="E33" s="87" t="s">
        <v>168</v>
      </c>
      <c r="F33" s="6">
        <v>129</v>
      </c>
      <c r="G33" s="110">
        <f>1798900+87880.15-216644.34+155000+31664.91+334408.18</f>
        <v>2191208.9</v>
      </c>
      <c r="H33" s="109"/>
    </row>
    <row r="34" spans="1:9" ht="18" customHeight="1">
      <c r="A34" s="45" t="s">
        <v>40</v>
      </c>
      <c r="B34" s="6">
        <v>650</v>
      </c>
      <c r="C34" s="7">
        <v>1</v>
      </c>
      <c r="D34" s="8">
        <v>4</v>
      </c>
      <c r="E34" s="87" t="s">
        <v>168</v>
      </c>
      <c r="F34" s="6">
        <v>500</v>
      </c>
      <c r="G34" s="110">
        <f>G35</f>
        <v>295046</v>
      </c>
      <c r="H34" s="109"/>
      <c r="I34" s="124"/>
    </row>
    <row r="35" spans="1:9" ht="18.75" customHeight="1">
      <c r="A35" s="45" t="s">
        <v>97</v>
      </c>
      <c r="B35" s="6">
        <v>650</v>
      </c>
      <c r="C35" s="7">
        <v>1</v>
      </c>
      <c r="D35" s="8">
        <v>4</v>
      </c>
      <c r="E35" s="87" t="s">
        <v>168</v>
      </c>
      <c r="F35" s="6">
        <v>540</v>
      </c>
      <c r="G35" s="110">
        <f>291973+6146-3073</f>
        <v>295046</v>
      </c>
      <c r="H35" s="109"/>
    </row>
    <row r="36" spans="1:9" ht="18.75" customHeight="1">
      <c r="A36" s="46" t="s">
        <v>197</v>
      </c>
      <c r="B36" s="6">
        <v>650</v>
      </c>
      <c r="C36" s="12">
        <v>1</v>
      </c>
      <c r="D36" s="52">
        <v>7</v>
      </c>
      <c r="E36" s="87" t="s">
        <v>199</v>
      </c>
      <c r="F36" s="6"/>
      <c r="G36" s="106">
        <f>G37+G40</f>
        <v>561528</v>
      </c>
      <c r="H36" s="109"/>
    </row>
    <row r="37" spans="1:9" ht="18.75" customHeight="1">
      <c r="A37" s="45" t="s">
        <v>197</v>
      </c>
      <c r="B37" s="6">
        <v>650</v>
      </c>
      <c r="C37" s="7">
        <v>1</v>
      </c>
      <c r="D37" s="8">
        <v>7</v>
      </c>
      <c r="E37" s="87" t="s">
        <v>198</v>
      </c>
      <c r="F37" s="6">
        <v>100</v>
      </c>
      <c r="G37" s="110">
        <f>G39</f>
        <v>407548</v>
      </c>
      <c r="H37" s="109"/>
    </row>
    <row r="38" spans="1:9" ht="18.75" customHeight="1">
      <c r="A38" s="45" t="s">
        <v>197</v>
      </c>
      <c r="B38" s="6">
        <v>650</v>
      </c>
      <c r="C38" s="7">
        <v>1</v>
      </c>
      <c r="D38" s="8">
        <v>7</v>
      </c>
      <c r="E38" s="87" t="s">
        <v>198</v>
      </c>
      <c r="F38" s="6">
        <v>120</v>
      </c>
      <c r="G38" s="110">
        <f>G39</f>
        <v>407548</v>
      </c>
      <c r="H38" s="109"/>
    </row>
    <row r="39" spans="1:9" ht="18.75" customHeight="1">
      <c r="A39" s="45" t="s">
        <v>197</v>
      </c>
      <c r="B39" s="6">
        <v>650</v>
      </c>
      <c r="C39" s="7">
        <v>1</v>
      </c>
      <c r="D39" s="8">
        <v>7</v>
      </c>
      <c r="E39" s="87" t="s">
        <v>198</v>
      </c>
      <c r="F39" s="6">
        <v>123</v>
      </c>
      <c r="G39" s="110">
        <f>276848+130700</f>
        <v>407548</v>
      </c>
      <c r="H39" s="109"/>
    </row>
    <row r="40" spans="1:9" ht="18.75" customHeight="1">
      <c r="A40" s="45" t="s">
        <v>197</v>
      </c>
      <c r="B40" s="6">
        <v>650</v>
      </c>
      <c r="C40" s="7">
        <v>1</v>
      </c>
      <c r="D40" s="8">
        <v>7</v>
      </c>
      <c r="E40" s="87" t="s">
        <v>198</v>
      </c>
      <c r="F40" s="6">
        <v>880</v>
      </c>
      <c r="G40" s="110">
        <v>153980</v>
      </c>
      <c r="H40" s="109"/>
    </row>
    <row r="41" spans="1:9" s="49" customFormat="1" ht="12.75" customHeight="1">
      <c r="A41" s="46" t="s">
        <v>24</v>
      </c>
      <c r="B41" s="11">
        <v>650</v>
      </c>
      <c r="C41" s="12">
        <v>1</v>
      </c>
      <c r="D41" s="52">
        <v>11</v>
      </c>
      <c r="E41" s="86"/>
      <c r="F41" s="11"/>
      <c r="G41" s="108">
        <f>G45</f>
        <v>0</v>
      </c>
      <c r="H41" s="112"/>
      <c r="I41" s="145"/>
    </row>
    <row r="42" spans="1:9" s="49" customFormat="1" ht="12.75" customHeight="1">
      <c r="A42" s="61" t="s">
        <v>37</v>
      </c>
      <c r="B42" s="58">
        <v>650</v>
      </c>
      <c r="C42" s="59">
        <v>1</v>
      </c>
      <c r="D42" s="60">
        <v>11</v>
      </c>
      <c r="E42" s="88" t="s">
        <v>57</v>
      </c>
      <c r="F42" s="11"/>
      <c r="G42" s="113">
        <f>G43</f>
        <v>0</v>
      </c>
      <c r="H42" s="112"/>
    </row>
    <row r="43" spans="1:9" ht="12.75" customHeight="1">
      <c r="A43" s="53" t="s">
        <v>25</v>
      </c>
      <c r="B43" s="54">
        <v>650</v>
      </c>
      <c r="C43" s="55">
        <v>1</v>
      </c>
      <c r="D43" s="56">
        <v>11</v>
      </c>
      <c r="E43" s="87" t="s">
        <v>58</v>
      </c>
      <c r="F43" s="6"/>
      <c r="G43" s="110">
        <f>G44</f>
        <v>0</v>
      </c>
      <c r="H43" s="109"/>
    </row>
    <row r="44" spans="1:9" ht="12.75" customHeight="1">
      <c r="A44" s="61" t="s">
        <v>52</v>
      </c>
      <c r="B44" s="54">
        <v>650</v>
      </c>
      <c r="C44" s="55">
        <v>1</v>
      </c>
      <c r="D44" s="56">
        <v>11</v>
      </c>
      <c r="E44" s="87" t="s">
        <v>58</v>
      </c>
      <c r="F44" s="6">
        <v>800</v>
      </c>
      <c r="G44" s="110">
        <f>G45</f>
        <v>0</v>
      </c>
      <c r="H44" s="109"/>
    </row>
    <row r="45" spans="1:9" ht="12.75" customHeight="1">
      <c r="A45" s="61" t="s">
        <v>39</v>
      </c>
      <c r="B45" s="54">
        <v>650</v>
      </c>
      <c r="C45" s="55">
        <v>1</v>
      </c>
      <c r="D45" s="56">
        <v>11</v>
      </c>
      <c r="E45" s="87" t="s">
        <v>58</v>
      </c>
      <c r="F45" s="6">
        <v>870</v>
      </c>
      <c r="G45" s="110">
        <f>100000-100000</f>
        <v>0</v>
      </c>
      <c r="H45" s="109"/>
    </row>
    <row r="46" spans="1:9" ht="13.5">
      <c r="A46" s="46" t="s">
        <v>9</v>
      </c>
      <c r="B46" s="11">
        <v>650</v>
      </c>
      <c r="C46" s="12">
        <v>1</v>
      </c>
      <c r="D46" s="52">
        <v>13</v>
      </c>
      <c r="E46" s="87"/>
      <c r="F46" s="6"/>
      <c r="G46" s="108">
        <f>G47</f>
        <v>1842331.3200000003</v>
      </c>
      <c r="H46" s="114"/>
    </row>
    <row r="47" spans="1:9" ht="38.25">
      <c r="A47" s="45" t="s">
        <v>138</v>
      </c>
      <c r="B47" s="6">
        <v>650</v>
      </c>
      <c r="C47" s="7">
        <v>1</v>
      </c>
      <c r="D47" s="8">
        <v>13</v>
      </c>
      <c r="E47" s="87" t="s">
        <v>60</v>
      </c>
      <c r="F47" s="6"/>
      <c r="G47" s="115">
        <f>G48</f>
        <v>1842331.3200000003</v>
      </c>
      <c r="H47" s="114"/>
    </row>
    <row r="48" spans="1:9" ht="66" customHeight="1">
      <c r="A48" s="61" t="s">
        <v>140</v>
      </c>
      <c r="B48" s="58">
        <v>650</v>
      </c>
      <c r="C48" s="59">
        <v>1</v>
      </c>
      <c r="D48" s="60">
        <v>13</v>
      </c>
      <c r="E48" s="89" t="s">
        <v>166</v>
      </c>
      <c r="F48" s="6"/>
      <c r="G48" s="115">
        <f>G49</f>
        <v>1842331.3200000003</v>
      </c>
      <c r="H48" s="114"/>
      <c r="I48" s="124"/>
    </row>
    <row r="49" spans="1:9" ht="24" customHeight="1">
      <c r="A49" s="45" t="s">
        <v>80</v>
      </c>
      <c r="B49" s="6">
        <v>650</v>
      </c>
      <c r="C49" s="7">
        <v>1</v>
      </c>
      <c r="D49" s="8">
        <v>13</v>
      </c>
      <c r="E49" s="87" t="s">
        <v>169</v>
      </c>
      <c r="F49" s="6"/>
      <c r="G49" s="110">
        <f>G50+G53+G56</f>
        <v>1842331.3200000003</v>
      </c>
      <c r="H49" s="114"/>
      <c r="I49" s="124"/>
    </row>
    <row r="50" spans="1:9" ht="52.5" customHeight="1">
      <c r="A50" s="61" t="s">
        <v>100</v>
      </c>
      <c r="B50" s="58">
        <v>650</v>
      </c>
      <c r="C50" s="59">
        <v>1</v>
      </c>
      <c r="D50" s="60">
        <v>13</v>
      </c>
      <c r="E50" s="87" t="s">
        <v>169</v>
      </c>
      <c r="F50" s="58">
        <v>100</v>
      </c>
      <c r="G50" s="113">
        <f>G51</f>
        <v>212450.36</v>
      </c>
      <c r="H50" s="116"/>
    </row>
    <row r="51" spans="1:9" ht="24" customHeight="1">
      <c r="A51" s="61" t="s">
        <v>104</v>
      </c>
      <c r="B51" s="58">
        <v>650</v>
      </c>
      <c r="C51" s="59">
        <v>1</v>
      </c>
      <c r="D51" s="60">
        <v>13</v>
      </c>
      <c r="E51" s="87" t="s">
        <v>169</v>
      </c>
      <c r="F51" s="58">
        <v>120</v>
      </c>
      <c r="G51" s="113">
        <f>G52</f>
        <v>212450.36</v>
      </c>
      <c r="H51" s="116"/>
    </row>
    <row r="52" spans="1:9" ht="30.75" customHeight="1">
      <c r="A52" s="61" t="s">
        <v>46</v>
      </c>
      <c r="B52" s="58">
        <v>650</v>
      </c>
      <c r="C52" s="59">
        <v>1</v>
      </c>
      <c r="D52" s="60">
        <v>13</v>
      </c>
      <c r="E52" s="87" t="s">
        <v>169</v>
      </c>
      <c r="F52" s="58">
        <v>122</v>
      </c>
      <c r="G52" s="113">
        <f>237400-24949.64</f>
        <v>212450.36</v>
      </c>
      <c r="H52" s="116"/>
    </row>
    <row r="53" spans="1:9" ht="30.75" customHeight="1">
      <c r="A53" s="57" t="s">
        <v>72</v>
      </c>
      <c r="B53" s="58">
        <v>650</v>
      </c>
      <c r="C53" s="59">
        <v>1</v>
      </c>
      <c r="D53" s="60">
        <v>13</v>
      </c>
      <c r="E53" s="87" t="s">
        <v>169</v>
      </c>
      <c r="F53" s="58">
        <v>200</v>
      </c>
      <c r="G53" s="113">
        <f>G54</f>
        <v>1510504.9600000002</v>
      </c>
      <c r="H53" s="116"/>
    </row>
    <row r="54" spans="1:9" ht="30.75" customHeight="1">
      <c r="A54" s="57" t="s">
        <v>53</v>
      </c>
      <c r="B54" s="58">
        <v>650</v>
      </c>
      <c r="C54" s="59">
        <v>1</v>
      </c>
      <c r="D54" s="60">
        <v>13</v>
      </c>
      <c r="E54" s="87" t="s">
        <v>169</v>
      </c>
      <c r="F54" s="58">
        <v>240</v>
      </c>
      <c r="G54" s="113">
        <f>G55</f>
        <v>1510504.9600000002</v>
      </c>
      <c r="H54" s="116"/>
    </row>
    <row r="55" spans="1:9" ht="30.75" customHeight="1">
      <c r="A55" s="57" t="s">
        <v>47</v>
      </c>
      <c r="B55" s="58">
        <v>650</v>
      </c>
      <c r="C55" s="59">
        <v>1</v>
      </c>
      <c r="D55" s="60">
        <v>13</v>
      </c>
      <c r="E55" s="87" t="s">
        <v>169</v>
      </c>
      <c r="F55" s="58">
        <v>244</v>
      </c>
      <c r="G55" s="113">
        <f>837700+120485.85+39150+17000+6000+175000+28300+3485+21400+60500+190860.04-4000-12000-2945-3000-32533.88-28902-21543.97+115548.92</f>
        <v>1510504.9600000002</v>
      </c>
      <c r="H55" s="116"/>
    </row>
    <row r="56" spans="1:9" ht="21" customHeight="1">
      <c r="A56" s="57" t="s">
        <v>52</v>
      </c>
      <c r="B56" s="58">
        <v>650</v>
      </c>
      <c r="C56" s="59">
        <v>1</v>
      </c>
      <c r="D56" s="60">
        <v>13</v>
      </c>
      <c r="E56" s="87" t="s">
        <v>169</v>
      </c>
      <c r="F56" s="58">
        <v>800</v>
      </c>
      <c r="G56" s="113">
        <f>G57</f>
        <v>119375.99999999999</v>
      </c>
      <c r="H56" s="116"/>
    </row>
    <row r="57" spans="1:9" ht="15.75" customHeight="1">
      <c r="A57" s="61" t="s">
        <v>102</v>
      </c>
      <c r="B57" s="58">
        <v>650</v>
      </c>
      <c r="C57" s="59">
        <v>1</v>
      </c>
      <c r="D57" s="60">
        <v>13</v>
      </c>
      <c r="E57" s="87" t="s">
        <v>169</v>
      </c>
      <c r="F57" s="58">
        <v>850</v>
      </c>
      <c r="G57" s="113">
        <f>G58+G60+G59</f>
        <v>119375.99999999999</v>
      </c>
      <c r="H57" s="116"/>
      <c r="I57" s="124"/>
    </row>
    <row r="58" spans="1:9" ht="23.25" customHeight="1">
      <c r="A58" s="61" t="s">
        <v>96</v>
      </c>
      <c r="B58" s="58">
        <v>650</v>
      </c>
      <c r="C58" s="59">
        <v>1</v>
      </c>
      <c r="D58" s="60">
        <v>13</v>
      </c>
      <c r="E58" s="87" t="s">
        <v>169</v>
      </c>
      <c r="F58" s="58">
        <v>851</v>
      </c>
      <c r="G58" s="113">
        <f>60000-28626</f>
        <v>31374</v>
      </c>
      <c r="H58" s="116"/>
    </row>
    <row r="59" spans="1:9" ht="23.25" customHeight="1">
      <c r="A59" s="61" t="s">
        <v>103</v>
      </c>
      <c r="B59" s="58">
        <v>650</v>
      </c>
      <c r="C59" s="59">
        <v>1</v>
      </c>
      <c r="D59" s="60">
        <v>13</v>
      </c>
      <c r="E59" s="87" t="s">
        <v>169</v>
      </c>
      <c r="F59" s="58">
        <v>852</v>
      </c>
      <c r="G59" s="113">
        <f>30000-15998+4000</f>
        <v>18002</v>
      </c>
      <c r="H59" s="116"/>
    </row>
    <row r="60" spans="1:9" ht="16.5" customHeight="1">
      <c r="A60" s="61" t="s">
        <v>146</v>
      </c>
      <c r="B60" s="58">
        <v>650</v>
      </c>
      <c r="C60" s="59">
        <v>1</v>
      </c>
      <c r="D60" s="60">
        <v>13</v>
      </c>
      <c r="E60" s="87" t="s">
        <v>169</v>
      </c>
      <c r="F60" s="58">
        <v>853</v>
      </c>
      <c r="G60" s="113">
        <f>120485.85+10000+28185.14-120485.85+21815+9999.86</f>
        <v>69999.999999999985</v>
      </c>
      <c r="H60" s="116"/>
    </row>
    <row r="61" spans="1:9" s="49" customFormat="1" ht="45.75" customHeight="1">
      <c r="A61" s="46" t="s">
        <v>211</v>
      </c>
      <c r="B61" s="11">
        <v>650</v>
      </c>
      <c r="C61" s="12">
        <v>1</v>
      </c>
      <c r="D61" s="52">
        <v>13</v>
      </c>
      <c r="E61" s="86" t="s">
        <v>210</v>
      </c>
      <c r="F61" s="11"/>
      <c r="G61" s="106">
        <f>G62</f>
        <v>130348.82</v>
      </c>
      <c r="H61" s="107"/>
    </row>
    <row r="62" spans="1:9" ht="54" customHeight="1">
      <c r="A62" s="45" t="s">
        <v>100</v>
      </c>
      <c r="B62" s="58">
        <v>650</v>
      </c>
      <c r="C62" s="59">
        <v>1</v>
      </c>
      <c r="D62" s="60">
        <v>13</v>
      </c>
      <c r="E62" s="87" t="s">
        <v>209</v>
      </c>
      <c r="F62" s="58"/>
      <c r="G62" s="113">
        <f>G63</f>
        <v>130348.82</v>
      </c>
      <c r="H62" s="116"/>
    </row>
    <row r="63" spans="1:9" ht="16.5" customHeight="1">
      <c r="A63" s="45" t="s">
        <v>54</v>
      </c>
      <c r="B63" s="58">
        <v>650</v>
      </c>
      <c r="C63" s="59">
        <v>1</v>
      </c>
      <c r="D63" s="60">
        <v>13</v>
      </c>
      <c r="E63" s="87" t="s">
        <v>208</v>
      </c>
      <c r="F63" s="58">
        <v>100</v>
      </c>
      <c r="G63" s="113">
        <f>G64+G65</f>
        <v>130348.82</v>
      </c>
      <c r="H63" s="116"/>
    </row>
    <row r="64" spans="1:9" ht="16.5" customHeight="1">
      <c r="A64" s="61" t="s">
        <v>206</v>
      </c>
      <c r="B64" s="58">
        <v>650</v>
      </c>
      <c r="C64" s="59">
        <v>1</v>
      </c>
      <c r="D64" s="60">
        <v>13</v>
      </c>
      <c r="E64" s="87" t="s">
        <v>208</v>
      </c>
      <c r="F64" s="58">
        <v>111</v>
      </c>
      <c r="G64" s="113">
        <v>100114.3</v>
      </c>
      <c r="H64" s="116"/>
    </row>
    <row r="65" spans="1:9" ht="16.5" customHeight="1">
      <c r="A65" s="61" t="s">
        <v>205</v>
      </c>
      <c r="B65" s="58">
        <v>650</v>
      </c>
      <c r="C65" s="59">
        <v>1</v>
      </c>
      <c r="D65" s="60">
        <v>13</v>
      </c>
      <c r="E65" s="87" t="s">
        <v>208</v>
      </c>
      <c r="F65" s="58">
        <v>119</v>
      </c>
      <c r="G65" s="113">
        <v>30234.52</v>
      </c>
      <c r="H65" s="116"/>
    </row>
    <row r="66" spans="1:9" s="49" customFormat="1" ht="12.75" customHeight="1">
      <c r="A66" s="46" t="s">
        <v>16</v>
      </c>
      <c r="B66" s="11">
        <v>650</v>
      </c>
      <c r="C66" s="12">
        <v>2</v>
      </c>
      <c r="D66" s="52">
        <v>0</v>
      </c>
      <c r="E66" s="86"/>
      <c r="F66" s="11"/>
      <c r="G66" s="106">
        <f>G67</f>
        <v>393800</v>
      </c>
      <c r="H66" s="107">
        <f>G66</f>
        <v>393800</v>
      </c>
    </row>
    <row r="67" spans="1:9" s="49" customFormat="1" ht="40.5" customHeight="1">
      <c r="A67" s="61" t="s">
        <v>138</v>
      </c>
      <c r="B67" s="58">
        <v>650</v>
      </c>
      <c r="C67" s="59">
        <v>2</v>
      </c>
      <c r="D67" s="60">
        <v>3</v>
      </c>
      <c r="E67" s="89" t="s">
        <v>60</v>
      </c>
      <c r="F67" s="11"/>
      <c r="G67" s="106">
        <f>G68</f>
        <v>393800</v>
      </c>
      <c r="H67" s="107">
        <f>G67</f>
        <v>393800</v>
      </c>
    </row>
    <row r="68" spans="1:9" s="49" customFormat="1" ht="68.25" customHeight="1">
      <c r="A68" s="61" t="s">
        <v>140</v>
      </c>
      <c r="B68" s="58">
        <v>650</v>
      </c>
      <c r="C68" s="59">
        <v>2</v>
      </c>
      <c r="D68" s="60">
        <v>3</v>
      </c>
      <c r="E68" s="89" t="s">
        <v>166</v>
      </c>
      <c r="F68" s="11"/>
      <c r="G68" s="106">
        <f>G69</f>
        <v>393800</v>
      </c>
      <c r="H68" s="107">
        <f>H69</f>
        <v>393800</v>
      </c>
    </row>
    <row r="69" spans="1:9" ht="18.75" customHeight="1">
      <c r="A69" s="45" t="s">
        <v>22</v>
      </c>
      <c r="B69" s="6">
        <v>650</v>
      </c>
      <c r="C69" s="7">
        <v>2</v>
      </c>
      <c r="D69" s="8">
        <v>3</v>
      </c>
      <c r="E69" s="87" t="s">
        <v>170</v>
      </c>
      <c r="F69" s="6"/>
      <c r="G69" s="110">
        <f>G70</f>
        <v>393800</v>
      </c>
      <c r="H69" s="117">
        <f t="shared" ref="H69:H75" si="0">G69</f>
        <v>393800</v>
      </c>
    </row>
    <row r="70" spans="1:9" ht="54.75" customHeight="1">
      <c r="A70" s="45" t="s">
        <v>113</v>
      </c>
      <c r="B70" s="6">
        <v>650</v>
      </c>
      <c r="C70" s="7">
        <v>2</v>
      </c>
      <c r="D70" s="8">
        <v>3</v>
      </c>
      <c r="E70" s="87" t="s">
        <v>170</v>
      </c>
      <c r="F70" s="6">
        <v>100</v>
      </c>
      <c r="G70" s="110">
        <f>G71</f>
        <v>393800</v>
      </c>
      <c r="H70" s="117">
        <f t="shared" si="0"/>
        <v>393800</v>
      </c>
      <c r="I70" s="124"/>
    </row>
    <row r="71" spans="1:9" ht="27.75" customHeight="1">
      <c r="A71" s="45" t="s">
        <v>114</v>
      </c>
      <c r="B71" s="6">
        <v>650</v>
      </c>
      <c r="C71" s="7">
        <v>2</v>
      </c>
      <c r="D71" s="8">
        <v>3</v>
      </c>
      <c r="E71" s="87" t="s">
        <v>170</v>
      </c>
      <c r="F71" s="6">
        <v>120</v>
      </c>
      <c r="G71" s="110">
        <f>G72+G73</f>
        <v>393800</v>
      </c>
      <c r="H71" s="117">
        <f>G71</f>
        <v>393800</v>
      </c>
    </row>
    <row r="72" spans="1:9" ht="18" customHeight="1">
      <c r="A72" s="45" t="s">
        <v>101</v>
      </c>
      <c r="B72" s="6">
        <v>650</v>
      </c>
      <c r="C72" s="7">
        <v>2</v>
      </c>
      <c r="D72" s="8">
        <v>3</v>
      </c>
      <c r="E72" s="87" t="s">
        <v>170</v>
      </c>
      <c r="F72" s="6">
        <v>121</v>
      </c>
      <c r="G72" s="110">
        <v>302500</v>
      </c>
      <c r="H72" s="117">
        <f t="shared" si="0"/>
        <v>302500</v>
      </c>
    </row>
    <row r="73" spans="1:9" ht="42" customHeight="1">
      <c r="A73" s="45" t="s">
        <v>70</v>
      </c>
      <c r="B73" s="6">
        <v>650</v>
      </c>
      <c r="C73" s="7">
        <v>2</v>
      </c>
      <c r="D73" s="8">
        <v>3</v>
      </c>
      <c r="E73" s="87" t="s">
        <v>170</v>
      </c>
      <c r="F73" s="6">
        <v>129</v>
      </c>
      <c r="G73" s="110">
        <v>91300</v>
      </c>
      <c r="H73" s="117">
        <f>G73</f>
        <v>91300</v>
      </c>
    </row>
    <row r="74" spans="1:9" ht="29.25" customHeight="1">
      <c r="A74" s="46" t="s">
        <v>33</v>
      </c>
      <c r="B74" s="11">
        <v>650</v>
      </c>
      <c r="C74" s="12">
        <v>3</v>
      </c>
      <c r="D74" s="52">
        <v>0</v>
      </c>
      <c r="E74" s="86"/>
      <c r="F74" s="11"/>
      <c r="G74" s="106">
        <f>G75+G94+G88</f>
        <v>143320</v>
      </c>
      <c r="H74" s="107">
        <f>H75</f>
        <v>45390</v>
      </c>
      <c r="I74" s="124"/>
    </row>
    <row r="75" spans="1:9" ht="11.25" customHeight="1">
      <c r="A75" s="53" t="s">
        <v>34</v>
      </c>
      <c r="B75" s="54">
        <v>650</v>
      </c>
      <c r="C75" s="55">
        <v>3</v>
      </c>
      <c r="D75" s="56">
        <v>4</v>
      </c>
      <c r="E75" s="90"/>
      <c r="F75" s="54"/>
      <c r="G75" s="118">
        <f>G76</f>
        <v>45390</v>
      </c>
      <c r="H75" s="117">
        <f t="shared" si="0"/>
        <v>45390</v>
      </c>
    </row>
    <row r="76" spans="1:9" ht="40.5" customHeight="1">
      <c r="A76" s="53" t="s">
        <v>160</v>
      </c>
      <c r="B76" s="54">
        <v>650</v>
      </c>
      <c r="C76" s="55">
        <v>3</v>
      </c>
      <c r="D76" s="56">
        <v>4</v>
      </c>
      <c r="E76" s="89" t="s">
        <v>60</v>
      </c>
      <c r="F76" s="54"/>
      <c r="G76" s="118">
        <f>G77</f>
        <v>45390</v>
      </c>
      <c r="H76" s="117">
        <f>H77</f>
        <v>45390</v>
      </c>
    </row>
    <row r="77" spans="1:9" ht="66.75" customHeight="1">
      <c r="A77" s="53" t="s">
        <v>140</v>
      </c>
      <c r="B77" s="54">
        <v>650</v>
      </c>
      <c r="C77" s="55">
        <v>3</v>
      </c>
      <c r="D77" s="56">
        <v>4</v>
      </c>
      <c r="E77" s="89" t="s">
        <v>166</v>
      </c>
      <c r="F77" s="54"/>
      <c r="G77" s="118">
        <f>G78+G83</f>
        <v>45390</v>
      </c>
      <c r="H77" s="118">
        <f>H78+H83</f>
        <v>45390</v>
      </c>
      <c r="I77" s="124"/>
    </row>
    <row r="78" spans="1:9" ht="25.5" customHeight="1">
      <c r="A78" s="45" t="s">
        <v>142</v>
      </c>
      <c r="B78" s="6">
        <v>650</v>
      </c>
      <c r="C78" s="7">
        <v>3</v>
      </c>
      <c r="D78" s="8">
        <v>4</v>
      </c>
      <c r="E78" s="87" t="s">
        <v>171</v>
      </c>
      <c r="F78" s="6"/>
      <c r="G78" s="110">
        <f>G79</f>
        <v>39820</v>
      </c>
      <c r="H78" s="110">
        <f>H79</f>
        <v>39820</v>
      </c>
    </row>
    <row r="79" spans="1:9" ht="25.5" customHeight="1">
      <c r="A79" s="45" t="s">
        <v>141</v>
      </c>
      <c r="B79" s="6">
        <v>650</v>
      </c>
      <c r="C79" s="7">
        <v>3</v>
      </c>
      <c r="D79" s="8">
        <v>4</v>
      </c>
      <c r="E79" s="87" t="s">
        <v>171</v>
      </c>
      <c r="F79" s="6">
        <v>100</v>
      </c>
      <c r="G79" s="110">
        <f>G80</f>
        <v>39820</v>
      </c>
      <c r="H79" s="114">
        <f>H80</f>
        <v>39820</v>
      </c>
    </row>
    <row r="80" spans="1:9" ht="25.5" customHeight="1">
      <c r="A80" s="45" t="s">
        <v>104</v>
      </c>
      <c r="B80" s="6">
        <v>650</v>
      </c>
      <c r="C80" s="7">
        <v>3</v>
      </c>
      <c r="D80" s="8">
        <v>4</v>
      </c>
      <c r="E80" s="87" t="s">
        <v>171</v>
      </c>
      <c r="F80" s="6">
        <v>120</v>
      </c>
      <c r="G80" s="110">
        <f>G81+G82</f>
        <v>39820</v>
      </c>
      <c r="H80" s="114">
        <f>G80</f>
        <v>39820</v>
      </c>
    </row>
    <row r="81" spans="1:9" ht="25.5" customHeight="1">
      <c r="A81" s="45" t="s">
        <v>101</v>
      </c>
      <c r="B81" s="6">
        <v>650</v>
      </c>
      <c r="C81" s="7">
        <v>3</v>
      </c>
      <c r="D81" s="8">
        <v>4</v>
      </c>
      <c r="E81" s="87" t="s">
        <v>171</v>
      </c>
      <c r="F81" s="6">
        <v>121</v>
      </c>
      <c r="G81" s="110">
        <v>30584</v>
      </c>
      <c r="H81" s="114">
        <f>G81</f>
        <v>30584</v>
      </c>
    </row>
    <row r="82" spans="1:9" ht="25.5" customHeight="1">
      <c r="A82" s="45" t="s">
        <v>70</v>
      </c>
      <c r="B82" s="6">
        <v>650</v>
      </c>
      <c r="C82" s="7">
        <v>3</v>
      </c>
      <c r="D82" s="8">
        <v>4</v>
      </c>
      <c r="E82" s="87" t="s">
        <v>171</v>
      </c>
      <c r="F82" s="6">
        <v>129</v>
      </c>
      <c r="G82" s="110">
        <v>9236</v>
      </c>
      <c r="H82" s="114">
        <f>G82</f>
        <v>9236</v>
      </c>
    </row>
    <row r="83" spans="1:9" ht="27" customHeight="1">
      <c r="A83" s="45" t="s">
        <v>115</v>
      </c>
      <c r="B83" s="6">
        <v>650</v>
      </c>
      <c r="C83" s="7">
        <v>3</v>
      </c>
      <c r="D83" s="8">
        <v>4</v>
      </c>
      <c r="E83" s="87" t="s">
        <v>172</v>
      </c>
      <c r="F83" s="6"/>
      <c r="G83" s="110">
        <f>G84</f>
        <v>5570</v>
      </c>
      <c r="H83" s="110">
        <f>H84</f>
        <v>5570</v>
      </c>
    </row>
    <row r="84" spans="1:9" ht="55.5" customHeight="1">
      <c r="A84" s="45" t="s">
        <v>100</v>
      </c>
      <c r="B84" s="6">
        <v>650</v>
      </c>
      <c r="C84" s="7">
        <v>3</v>
      </c>
      <c r="D84" s="8">
        <v>4</v>
      </c>
      <c r="E84" s="87" t="s">
        <v>172</v>
      </c>
      <c r="F84" s="6">
        <v>100</v>
      </c>
      <c r="G84" s="110">
        <f>G85</f>
        <v>5570</v>
      </c>
      <c r="H84" s="114">
        <f>G84</f>
        <v>5570</v>
      </c>
    </row>
    <row r="85" spans="1:9" ht="29.25" customHeight="1">
      <c r="A85" s="45" t="s">
        <v>104</v>
      </c>
      <c r="B85" s="6">
        <v>650</v>
      </c>
      <c r="C85" s="7">
        <v>3</v>
      </c>
      <c r="D85" s="8">
        <v>4</v>
      </c>
      <c r="E85" s="87" t="s">
        <v>172</v>
      </c>
      <c r="F85" s="6">
        <v>120</v>
      </c>
      <c r="G85" s="110">
        <f>G86+G87</f>
        <v>5570</v>
      </c>
      <c r="H85" s="114">
        <f>G85</f>
        <v>5570</v>
      </c>
    </row>
    <row r="86" spans="1:9" ht="15.75" customHeight="1">
      <c r="A86" s="45" t="s">
        <v>101</v>
      </c>
      <c r="B86" s="6">
        <v>650</v>
      </c>
      <c r="C86" s="7">
        <v>3</v>
      </c>
      <c r="D86" s="8">
        <v>4</v>
      </c>
      <c r="E86" s="87" t="s">
        <v>172</v>
      </c>
      <c r="F86" s="6">
        <v>121</v>
      </c>
      <c r="G86" s="110">
        <f>4278+331.66</f>
        <v>4609.66</v>
      </c>
      <c r="H86" s="114">
        <f>G86</f>
        <v>4609.66</v>
      </c>
    </row>
    <row r="87" spans="1:9" ht="41.25" customHeight="1">
      <c r="A87" s="45" t="s">
        <v>70</v>
      </c>
      <c r="B87" s="6">
        <v>650</v>
      </c>
      <c r="C87" s="7">
        <v>3</v>
      </c>
      <c r="D87" s="8">
        <v>4</v>
      </c>
      <c r="E87" s="87" t="s">
        <v>172</v>
      </c>
      <c r="F87" s="6">
        <v>129</v>
      </c>
      <c r="G87" s="110">
        <f>1292-331.66</f>
        <v>960.33999999999992</v>
      </c>
      <c r="H87" s="114">
        <f>G87</f>
        <v>960.33999999999992</v>
      </c>
    </row>
    <row r="88" spans="1:9" ht="36" customHeight="1">
      <c r="A88" s="46" t="s">
        <v>161</v>
      </c>
      <c r="B88" s="11">
        <v>650</v>
      </c>
      <c r="C88" s="12">
        <v>3</v>
      </c>
      <c r="D88" s="52">
        <v>9</v>
      </c>
      <c r="E88" s="86"/>
      <c r="F88" s="11"/>
      <c r="G88" s="106">
        <f>G89</f>
        <v>78000</v>
      </c>
      <c r="H88" s="107"/>
    </row>
    <row r="89" spans="1:9" ht="17.25" customHeight="1">
      <c r="A89" s="45" t="s">
        <v>37</v>
      </c>
      <c r="B89" s="6">
        <v>650</v>
      </c>
      <c r="C89" s="7">
        <v>3</v>
      </c>
      <c r="D89" s="8">
        <v>9</v>
      </c>
      <c r="E89" s="87" t="s">
        <v>57</v>
      </c>
      <c r="F89" s="6"/>
      <c r="G89" s="110">
        <f>G90</f>
        <v>78000</v>
      </c>
      <c r="H89" s="114"/>
    </row>
    <row r="90" spans="1:9" ht="33.75" customHeight="1">
      <c r="A90" s="45" t="s">
        <v>162</v>
      </c>
      <c r="B90" s="6">
        <v>650</v>
      </c>
      <c r="C90" s="7">
        <v>3</v>
      </c>
      <c r="D90" s="8">
        <v>9</v>
      </c>
      <c r="E90" s="87" t="s">
        <v>95</v>
      </c>
      <c r="F90" s="6"/>
      <c r="G90" s="110">
        <f>G91</f>
        <v>78000</v>
      </c>
      <c r="H90" s="114"/>
    </row>
    <row r="91" spans="1:9" ht="36" customHeight="1">
      <c r="A91" s="45" t="s">
        <v>72</v>
      </c>
      <c r="B91" s="6">
        <v>650</v>
      </c>
      <c r="C91" s="7">
        <v>3</v>
      </c>
      <c r="D91" s="8">
        <v>9</v>
      </c>
      <c r="E91" s="87" t="s">
        <v>95</v>
      </c>
      <c r="F91" s="6">
        <v>200</v>
      </c>
      <c r="G91" s="110">
        <f>G92</f>
        <v>78000</v>
      </c>
      <c r="H91" s="114"/>
      <c r="I91" s="124"/>
    </row>
    <row r="92" spans="1:9" ht="36" customHeight="1">
      <c r="A92" s="45" t="s">
        <v>53</v>
      </c>
      <c r="B92" s="6">
        <v>650</v>
      </c>
      <c r="C92" s="7">
        <v>3</v>
      </c>
      <c r="D92" s="8">
        <v>9</v>
      </c>
      <c r="E92" s="87" t="s">
        <v>95</v>
      </c>
      <c r="F92" s="6">
        <v>240</v>
      </c>
      <c r="G92" s="110">
        <f>G93</f>
        <v>78000</v>
      </c>
      <c r="H92" s="114"/>
    </row>
    <row r="93" spans="1:9" ht="36" customHeight="1">
      <c r="A93" s="45" t="s">
        <v>47</v>
      </c>
      <c r="B93" s="6">
        <v>650</v>
      </c>
      <c r="C93" s="7">
        <v>3</v>
      </c>
      <c r="D93" s="8">
        <v>9</v>
      </c>
      <c r="E93" s="87" t="s">
        <v>95</v>
      </c>
      <c r="F93" s="6">
        <v>244</v>
      </c>
      <c r="G93" s="110">
        <f>37700+92000-14000-37700</f>
        <v>78000</v>
      </c>
      <c r="H93" s="114"/>
    </row>
    <row r="94" spans="1:9" ht="31.5" customHeight="1">
      <c r="A94" s="46" t="s">
        <v>41</v>
      </c>
      <c r="B94" s="11">
        <v>650</v>
      </c>
      <c r="C94" s="12">
        <v>3</v>
      </c>
      <c r="D94" s="52">
        <v>14</v>
      </c>
      <c r="E94" s="86"/>
      <c r="F94" s="11"/>
      <c r="G94" s="106">
        <f>G95</f>
        <v>19930</v>
      </c>
      <c r="H94" s="117"/>
    </row>
    <row r="95" spans="1:9" ht="38.25" customHeight="1">
      <c r="A95" s="61" t="s">
        <v>110</v>
      </c>
      <c r="B95" s="6">
        <v>650</v>
      </c>
      <c r="C95" s="7">
        <v>3</v>
      </c>
      <c r="D95" s="8">
        <v>14</v>
      </c>
      <c r="E95" s="87" t="s">
        <v>116</v>
      </c>
      <c r="F95" s="6"/>
      <c r="G95" s="113">
        <f>G96+G101+G100</f>
        <v>19930</v>
      </c>
      <c r="H95" s="117"/>
      <c r="I95" s="124"/>
    </row>
    <row r="96" spans="1:9" ht="72.75" customHeight="1">
      <c r="A96" s="61" t="s">
        <v>117</v>
      </c>
      <c r="B96" s="6">
        <v>650</v>
      </c>
      <c r="C96" s="7">
        <v>3</v>
      </c>
      <c r="D96" s="8">
        <v>14</v>
      </c>
      <c r="E96" s="87" t="s">
        <v>93</v>
      </c>
      <c r="F96" s="6"/>
      <c r="G96" s="113">
        <f>G97</f>
        <v>13950</v>
      </c>
      <c r="H96" s="117"/>
    </row>
    <row r="97" spans="1:9" ht="56.25" customHeight="1">
      <c r="A97" s="45" t="s">
        <v>100</v>
      </c>
      <c r="B97" s="6">
        <v>650</v>
      </c>
      <c r="C97" s="7">
        <v>3</v>
      </c>
      <c r="D97" s="8">
        <v>14</v>
      </c>
      <c r="E97" s="87" t="s">
        <v>93</v>
      </c>
      <c r="F97" s="6">
        <v>100</v>
      </c>
      <c r="G97" s="113">
        <f>G98</f>
        <v>13950</v>
      </c>
      <c r="H97" s="117"/>
    </row>
    <row r="98" spans="1:9" ht="27.75" customHeight="1">
      <c r="A98" s="45" t="s">
        <v>104</v>
      </c>
      <c r="B98" s="6">
        <v>650</v>
      </c>
      <c r="C98" s="7">
        <v>3</v>
      </c>
      <c r="D98" s="8">
        <v>14</v>
      </c>
      <c r="E98" s="87" t="s">
        <v>93</v>
      </c>
      <c r="F98" s="6">
        <v>120</v>
      </c>
      <c r="G98" s="113">
        <f>G99</f>
        <v>13950</v>
      </c>
      <c r="H98" s="117"/>
    </row>
    <row r="99" spans="1:9" ht="51" customHeight="1">
      <c r="A99" s="61" t="s">
        <v>157</v>
      </c>
      <c r="B99" s="6">
        <v>650</v>
      </c>
      <c r="C99" s="7">
        <v>3</v>
      </c>
      <c r="D99" s="8">
        <v>14</v>
      </c>
      <c r="E99" s="87" t="s">
        <v>93</v>
      </c>
      <c r="F99" s="6">
        <v>123</v>
      </c>
      <c r="G99" s="113">
        <f>13950</f>
        <v>13950</v>
      </c>
      <c r="H99" s="117"/>
    </row>
    <row r="100" spans="1:9" ht="51" customHeight="1">
      <c r="A100" s="61" t="s">
        <v>203</v>
      </c>
      <c r="B100" s="6">
        <v>650</v>
      </c>
      <c r="C100" s="7">
        <v>3</v>
      </c>
      <c r="D100" s="8">
        <v>14</v>
      </c>
      <c r="E100" s="87" t="s">
        <v>94</v>
      </c>
      <c r="F100" s="6">
        <v>123</v>
      </c>
      <c r="G100" s="113">
        <v>5020</v>
      </c>
      <c r="H100" s="117"/>
    </row>
    <row r="101" spans="1:9" ht="69" customHeight="1">
      <c r="A101" s="61" t="s">
        <v>118</v>
      </c>
      <c r="B101" s="6">
        <v>650</v>
      </c>
      <c r="C101" s="7">
        <v>3</v>
      </c>
      <c r="D101" s="8">
        <v>14</v>
      </c>
      <c r="E101" s="87" t="s">
        <v>94</v>
      </c>
      <c r="F101" s="6"/>
      <c r="G101" s="113">
        <f>G103</f>
        <v>960</v>
      </c>
      <c r="H101" s="117"/>
    </row>
    <row r="102" spans="1:9" ht="29.25" customHeight="1">
      <c r="A102" s="57" t="s">
        <v>72</v>
      </c>
      <c r="B102" s="6">
        <v>650</v>
      </c>
      <c r="C102" s="7">
        <v>3</v>
      </c>
      <c r="D102" s="8">
        <v>14</v>
      </c>
      <c r="E102" s="87" t="s">
        <v>94</v>
      </c>
      <c r="F102" s="6">
        <v>200</v>
      </c>
      <c r="G102" s="113">
        <f>G103</f>
        <v>960</v>
      </c>
      <c r="H102" s="117"/>
    </row>
    <row r="103" spans="1:9" ht="27" customHeight="1">
      <c r="A103" s="57" t="s">
        <v>53</v>
      </c>
      <c r="B103" s="6">
        <v>650</v>
      </c>
      <c r="C103" s="7">
        <v>3</v>
      </c>
      <c r="D103" s="8">
        <v>14</v>
      </c>
      <c r="E103" s="87" t="s">
        <v>94</v>
      </c>
      <c r="F103" s="6">
        <v>240</v>
      </c>
      <c r="G103" s="113">
        <f>G104</f>
        <v>960</v>
      </c>
      <c r="H103" s="117"/>
    </row>
    <row r="104" spans="1:9" ht="31.5" customHeight="1">
      <c r="A104" s="45" t="s">
        <v>47</v>
      </c>
      <c r="B104" s="6">
        <v>650</v>
      </c>
      <c r="C104" s="7">
        <v>3</v>
      </c>
      <c r="D104" s="8">
        <v>14</v>
      </c>
      <c r="E104" s="87" t="s">
        <v>94</v>
      </c>
      <c r="F104" s="6">
        <v>244</v>
      </c>
      <c r="G104" s="113">
        <f>5980-40-4980</f>
        <v>960</v>
      </c>
      <c r="H104" s="117"/>
    </row>
    <row r="105" spans="1:9" ht="13.5" customHeight="1">
      <c r="A105" s="46" t="s">
        <v>26</v>
      </c>
      <c r="B105" s="11">
        <v>650</v>
      </c>
      <c r="C105" s="12">
        <v>4</v>
      </c>
      <c r="D105" s="52">
        <v>0</v>
      </c>
      <c r="E105" s="86"/>
      <c r="F105" s="11"/>
      <c r="G105" s="106">
        <f>G106+G127+G117</f>
        <v>5977071.3300000001</v>
      </c>
      <c r="H105" s="107"/>
    </row>
    <row r="106" spans="1:9" ht="11.25" customHeight="1">
      <c r="A106" s="46" t="s">
        <v>35</v>
      </c>
      <c r="B106" s="11">
        <v>650</v>
      </c>
      <c r="C106" s="12">
        <v>4</v>
      </c>
      <c r="D106" s="52">
        <v>1</v>
      </c>
      <c r="E106" s="86"/>
      <c r="F106" s="11"/>
      <c r="G106" s="106">
        <f>G107</f>
        <v>1957142.4500000002</v>
      </c>
      <c r="H106" s="107"/>
    </row>
    <row r="107" spans="1:9" ht="40.5" customHeight="1">
      <c r="A107" s="61" t="s">
        <v>138</v>
      </c>
      <c r="B107" s="6">
        <v>650</v>
      </c>
      <c r="C107" s="7">
        <v>4</v>
      </c>
      <c r="D107" s="8">
        <v>1</v>
      </c>
      <c r="E107" s="87" t="s">
        <v>60</v>
      </c>
      <c r="F107" s="6"/>
      <c r="G107" s="113">
        <f>G108</f>
        <v>1957142.4500000002</v>
      </c>
      <c r="H107" s="117"/>
    </row>
    <row r="108" spans="1:9" ht="66" customHeight="1">
      <c r="A108" s="61" t="s">
        <v>140</v>
      </c>
      <c r="B108" s="6">
        <v>650</v>
      </c>
      <c r="C108" s="7">
        <v>4</v>
      </c>
      <c r="D108" s="8">
        <v>1</v>
      </c>
      <c r="E108" s="87" t="s">
        <v>166</v>
      </c>
      <c r="F108" s="6"/>
      <c r="G108" s="113">
        <f>G109+G113</f>
        <v>1957142.4500000002</v>
      </c>
      <c r="H108" s="117"/>
      <c r="I108" s="124"/>
    </row>
    <row r="109" spans="1:9" ht="25.5">
      <c r="A109" s="45" t="s">
        <v>119</v>
      </c>
      <c r="B109" s="6">
        <v>650</v>
      </c>
      <c r="C109" s="7">
        <v>4</v>
      </c>
      <c r="D109" s="8">
        <v>1</v>
      </c>
      <c r="E109" s="87" t="s">
        <v>173</v>
      </c>
      <c r="F109" s="6"/>
      <c r="G109" s="113">
        <f>G111</f>
        <v>855244.80000000005</v>
      </c>
      <c r="H109" s="117"/>
    </row>
    <row r="110" spans="1:9" ht="25.5">
      <c r="A110" s="45" t="s">
        <v>72</v>
      </c>
      <c r="B110" s="6">
        <v>650</v>
      </c>
      <c r="C110" s="7">
        <v>4</v>
      </c>
      <c r="D110" s="8">
        <v>1</v>
      </c>
      <c r="E110" s="87" t="s">
        <v>173</v>
      </c>
      <c r="F110" s="6">
        <v>200</v>
      </c>
      <c r="G110" s="113">
        <f>G111</f>
        <v>855244.80000000005</v>
      </c>
      <c r="H110" s="117"/>
    </row>
    <row r="111" spans="1:9" ht="25.5">
      <c r="A111" s="45" t="s">
        <v>53</v>
      </c>
      <c r="B111" s="6">
        <v>650</v>
      </c>
      <c r="C111" s="7">
        <v>4</v>
      </c>
      <c r="D111" s="8">
        <v>1</v>
      </c>
      <c r="E111" s="87" t="s">
        <v>173</v>
      </c>
      <c r="F111" s="6">
        <v>240</v>
      </c>
      <c r="G111" s="113">
        <f>G112</f>
        <v>855244.80000000005</v>
      </c>
      <c r="H111" s="117"/>
    </row>
    <row r="112" spans="1:9" ht="25.5">
      <c r="A112" s="45" t="s">
        <v>47</v>
      </c>
      <c r="B112" s="6">
        <v>650</v>
      </c>
      <c r="C112" s="7">
        <v>4</v>
      </c>
      <c r="D112" s="8">
        <v>1</v>
      </c>
      <c r="E112" s="87" t="s">
        <v>173</v>
      </c>
      <c r="F112" s="6">
        <v>244</v>
      </c>
      <c r="G112" s="113">
        <f>779500+22292+66816-13363.2</f>
        <v>855244.80000000005</v>
      </c>
      <c r="H112" s="117"/>
    </row>
    <row r="113" spans="1:9" ht="28.5" customHeight="1">
      <c r="A113" s="45" t="s">
        <v>153</v>
      </c>
      <c r="B113" s="6">
        <v>650</v>
      </c>
      <c r="C113" s="7">
        <v>4</v>
      </c>
      <c r="D113" s="8">
        <v>1</v>
      </c>
      <c r="E113" s="87" t="s">
        <v>174</v>
      </c>
      <c r="F113" s="6"/>
      <c r="G113" s="113">
        <f>G115</f>
        <v>1101897.6500000001</v>
      </c>
      <c r="H113" s="117"/>
    </row>
    <row r="114" spans="1:9" ht="28.5" customHeight="1">
      <c r="A114" s="45" t="s">
        <v>72</v>
      </c>
      <c r="B114" s="6">
        <v>650</v>
      </c>
      <c r="C114" s="7">
        <v>4</v>
      </c>
      <c r="D114" s="8">
        <v>1</v>
      </c>
      <c r="E114" s="87" t="s">
        <v>174</v>
      </c>
      <c r="F114" s="6">
        <v>200</v>
      </c>
      <c r="G114" s="113">
        <f>G115</f>
        <v>1101897.6500000001</v>
      </c>
      <c r="H114" s="117"/>
    </row>
    <row r="115" spans="1:9" ht="28.5" customHeight="1">
      <c r="A115" s="45" t="s">
        <v>53</v>
      </c>
      <c r="B115" s="6">
        <v>650</v>
      </c>
      <c r="C115" s="7">
        <v>4</v>
      </c>
      <c r="D115" s="8">
        <v>1</v>
      </c>
      <c r="E115" s="87" t="s">
        <v>174</v>
      </c>
      <c r="F115" s="6">
        <v>240</v>
      </c>
      <c r="G115" s="113">
        <f>G116</f>
        <v>1101897.6500000001</v>
      </c>
      <c r="H115" s="117"/>
    </row>
    <row r="116" spans="1:9" ht="33" customHeight="1">
      <c r="A116" s="45" t="s">
        <v>47</v>
      </c>
      <c r="B116" s="6">
        <v>650</v>
      </c>
      <c r="C116" s="7">
        <v>4</v>
      </c>
      <c r="D116" s="8">
        <v>1</v>
      </c>
      <c r="E116" s="87" t="s">
        <v>174</v>
      </c>
      <c r="F116" s="6">
        <v>244</v>
      </c>
      <c r="G116" s="113">
        <f>705400+200000+44624.14+149600+2273.51</f>
        <v>1101897.6500000001</v>
      </c>
      <c r="H116" s="117"/>
    </row>
    <row r="117" spans="1:9" ht="14.25" customHeight="1">
      <c r="A117" s="46" t="s">
        <v>61</v>
      </c>
      <c r="B117" s="11">
        <v>650</v>
      </c>
      <c r="C117" s="12">
        <v>4</v>
      </c>
      <c r="D117" s="52">
        <v>9</v>
      </c>
      <c r="E117" s="86"/>
      <c r="F117" s="11"/>
      <c r="G117" s="106">
        <f>G118</f>
        <v>3657225.99</v>
      </c>
      <c r="H117" s="117"/>
    </row>
    <row r="118" spans="1:9" ht="46.5" customHeight="1">
      <c r="A118" s="61" t="s">
        <v>111</v>
      </c>
      <c r="B118" s="58">
        <v>650</v>
      </c>
      <c r="C118" s="59">
        <v>4</v>
      </c>
      <c r="D118" s="60">
        <v>9</v>
      </c>
      <c r="E118" s="88" t="s">
        <v>90</v>
      </c>
      <c r="F118" s="58"/>
      <c r="G118" s="113">
        <f>G119+G123</f>
        <v>3657225.99</v>
      </c>
      <c r="H118" s="117"/>
    </row>
    <row r="119" spans="1:9" ht="29.25" customHeight="1">
      <c r="A119" s="61" t="s">
        <v>120</v>
      </c>
      <c r="B119" s="58">
        <v>650</v>
      </c>
      <c r="C119" s="59">
        <v>4</v>
      </c>
      <c r="D119" s="60">
        <v>9</v>
      </c>
      <c r="E119" s="88" t="s">
        <v>91</v>
      </c>
      <c r="F119" s="11"/>
      <c r="G119" s="113">
        <f>G120</f>
        <v>2823265.99</v>
      </c>
      <c r="H119" s="117"/>
    </row>
    <row r="120" spans="1:9" ht="27" customHeight="1">
      <c r="A120" s="45" t="s">
        <v>72</v>
      </c>
      <c r="B120" s="6">
        <v>650</v>
      </c>
      <c r="C120" s="7">
        <v>4</v>
      </c>
      <c r="D120" s="8">
        <v>9</v>
      </c>
      <c r="E120" s="88" t="s">
        <v>91</v>
      </c>
      <c r="F120" s="6">
        <v>200</v>
      </c>
      <c r="G120" s="113">
        <f>G121</f>
        <v>2823265.99</v>
      </c>
      <c r="H120" s="117"/>
      <c r="I120" s="124"/>
    </row>
    <row r="121" spans="1:9" ht="33" customHeight="1">
      <c r="A121" s="45" t="s">
        <v>53</v>
      </c>
      <c r="B121" s="6">
        <v>650</v>
      </c>
      <c r="C121" s="7">
        <v>4</v>
      </c>
      <c r="D121" s="8">
        <v>9</v>
      </c>
      <c r="E121" s="88" t="s">
        <v>91</v>
      </c>
      <c r="F121" s="6">
        <v>240</v>
      </c>
      <c r="G121" s="113">
        <f>G122</f>
        <v>2823265.99</v>
      </c>
      <c r="H121" s="117"/>
    </row>
    <row r="122" spans="1:9" ht="33" customHeight="1">
      <c r="A122" s="45" t="s">
        <v>47</v>
      </c>
      <c r="B122" s="6">
        <v>650</v>
      </c>
      <c r="C122" s="7">
        <v>4</v>
      </c>
      <c r="D122" s="8">
        <v>9</v>
      </c>
      <c r="E122" s="88" t="s">
        <v>91</v>
      </c>
      <c r="F122" s="6">
        <v>244</v>
      </c>
      <c r="G122" s="113">
        <f>2522500+54325.99-15960+585260-322860</f>
        <v>2823265.99</v>
      </c>
      <c r="H122" s="117"/>
    </row>
    <row r="123" spans="1:9" ht="15.75" customHeight="1">
      <c r="A123" s="61" t="s">
        <v>121</v>
      </c>
      <c r="B123" s="58">
        <v>650</v>
      </c>
      <c r="C123" s="59">
        <v>4</v>
      </c>
      <c r="D123" s="60">
        <v>9</v>
      </c>
      <c r="E123" s="87" t="s">
        <v>92</v>
      </c>
      <c r="F123" s="58"/>
      <c r="G123" s="113">
        <f>G124</f>
        <v>833960</v>
      </c>
      <c r="H123" s="117"/>
    </row>
    <row r="124" spans="1:9" ht="33" customHeight="1">
      <c r="A124" s="45" t="s">
        <v>72</v>
      </c>
      <c r="B124" s="6">
        <v>650</v>
      </c>
      <c r="C124" s="7">
        <v>4</v>
      </c>
      <c r="D124" s="8">
        <v>9</v>
      </c>
      <c r="E124" s="87" t="s">
        <v>92</v>
      </c>
      <c r="F124" s="6">
        <v>200</v>
      </c>
      <c r="G124" s="113">
        <f>G125</f>
        <v>833960</v>
      </c>
      <c r="H124" s="117"/>
    </row>
    <row r="125" spans="1:9" ht="28.5" customHeight="1">
      <c r="A125" s="45" t="s">
        <v>53</v>
      </c>
      <c r="B125" s="6">
        <v>650</v>
      </c>
      <c r="C125" s="7">
        <v>4</v>
      </c>
      <c r="D125" s="8">
        <v>9</v>
      </c>
      <c r="E125" s="87" t="s">
        <v>92</v>
      </c>
      <c r="F125" s="6">
        <v>240</v>
      </c>
      <c r="G125" s="113">
        <f>G126</f>
        <v>833960</v>
      </c>
      <c r="H125" s="117"/>
    </row>
    <row r="126" spans="1:9" ht="26.25" customHeight="1">
      <c r="A126" s="45" t="s">
        <v>47</v>
      </c>
      <c r="B126" s="6">
        <v>650</v>
      </c>
      <c r="C126" s="7">
        <v>4</v>
      </c>
      <c r="D126" s="8">
        <v>9</v>
      </c>
      <c r="E126" s="87" t="s">
        <v>92</v>
      </c>
      <c r="F126" s="6">
        <v>244</v>
      </c>
      <c r="G126" s="113">
        <f>780400+15960+37600</f>
        <v>833960</v>
      </c>
      <c r="H126" s="117"/>
    </row>
    <row r="127" spans="1:9" ht="19.5" customHeight="1">
      <c r="A127" s="46" t="s">
        <v>27</v>
      </c>
      <c r="B127" s="11">
        <v>650</v>
      </c>
      <c r="C127" s="12">
        <v>4</v>
      </c>
      <c r="D127" s="52">
        <v>10</v>
      </c>
      <c r="E127" s="86"/>
      <c r="F127" s="11"/>
      <c r="G127" s="106">
        <f>G128</f>
        <v>362702.89</v>
      </c>
      <c r="H127" s="107"/>
    </row>
    <row r="128" spans="1:9" ht="41.25" customHeight="1">
      <c r="A128" s="61" t="s">
        <v>138</v>
      </c>
      <c r="B128" s="58">
        <v>650</v>
      </c>
      <c r="C128" s="59">
        <v>4</v>
      </c>
      <c r="D128" s="60">
        <v>10</v>
      </c>
      <c r="E128" s="89" t="s">
        <v>60</v>
      </c>
      <c r="F128" s="58"/>
      <c r="G128" s="113">
        <f>G129</f>
        <v>362702.89</v>
      </c>
      <c r="H128" s="107"/>
    </row>
    <row r="129" spans="1:9" ht="29.25" customHeight="1">
      <c r="A129" s="61" t="s">
        <v>143</v>
      </c>
      <c r="B129" s="58">
        <v>650</v>
      </c>
      <c r="C129" s="59">
        <v>4</v>
      </c>
      <c r="D129" s="60">
        <v>10</v>
      </c>
      <c r="E129" s="89" t="s">
        <v>175</v>
      </c>
      <c r="F129" s="58"/>
      <c r="G129" s="113">
        <f>G130</f>
        <v>362702.89</v>
      </c>
      <c r="H129" s="107"/>
    </row>
    <row r="130" spans="1:9" ht="29.25" customHeight="1">
      <c r="A130" s="45" t="s">
        <v>72</v>
      </c>
      <c r="B130" s="6">
        <v>650</v>
      </c>
      <c r="C130" s="7">
        <v>4</v>
      </c>
      <c r="D130" s="8">
        <v>10</v>
      </c>
      <c r="E130" s="87" t="s">
        <v>176</v>
      </c>
      <c r="F130" s="6">
        <v>200</v>
      </c>
      <c r="G130" s="110">
        <f>G131</f>
        <v>362702.89</v>
      </c>
      <c r="H130" s="116"/>
      <c r="I130" s="124"/>
    </row>
    <row r="131" spans="1:9" ht="28.5" customHeight="1">
      <c r="A131" s="45" t="s">
        <v>53</v>
      </c>
      <c r="B131" s="6">
        <v>650</v>
      </c>
      <c r="C131" s="7">
        <v>4</v>
      </c>
      <c r="D131" s="8">
        <v>10</v>
      </c>
      <c r="E131" s="87" t="s">
        <v>176</v>
      </c>
      <c r="F131" s="6">
        <v>240</v>
      </c>
      <c r="G131" s="110">
        <f>G132</f>
        <v>362702.89</v>
      </c>
      <c r="H131" s="116"/>
    </row>
    <row r="132" spans="1:9" ht="28.5" customHeight="1">
      <c r="A132" s="45" t="s">
        <v>105</v>
      </c>
      <c r="B132" s="6">
        <v>650</v>
      </c>
      <c r="C132" s="7">
        <v>4</v>
      </c>
      <c r="D132" s="8">
        <v>10</v>
      </c>
      <c r="E132" s="87" t="s">
        <v>176</v>
      </c>
      <c r="F132" s="6">
        <v>242</v>
      </c>
      <c r="G132" s="110">
        <f>280500-39150-23000+9100+85130+34140+12000-9817.11+13800</f>
        <v>362702.89</v>
      </c>
      <c r="H132" s="116"/>
    </row>
    <row r="133" spans="1:9" s="49" customFormat="1">
      <c r="A133" s="46" t="s">
        <v>14</v>
      </c>
      <c r="B133" s="11">
        <v>650</v>
      </c>
      <c r="C133" s="12">
        <v>5</v>
      </c>
      <c r="D133" s="51" t="s">
        <v>49</v>
      </c>
      <c r="E133" s="86"/>
      <c r="F133" s="11"/>
      <c r="G133" s="106">
        <f>G134+G143+G151+G178</f>
        <v>12437687.149999999</v>
      </c>
      <c r="H133" s="107"/>
    </row>
    <row r="134" spans="1:9" s="49" customFormat="1" ht="20.25" customHeight="1">
      <c r="A134" s="46" t="s">
        <v>66</v>
      </c>
      <c r="B134" s="11">
        <v>650</v>
      </c>
      <c r="C134" s="12">
        <v>5</v>
      </c>
      <c r="D134" s="51" t="s">
        <v>65</v>
      </c>
      <c r="E134" s="86"/>
      <c r="F134" s="11"/>
      <c r="G134" s="106">
        <f>G135</f>
        <v>41703.17</v>
      </c>
      <c r="H134" s="107"/>
    </row>
    <row r="135" spans="1:9" s="49" customFormat="1" ht="29.25" customHeight="1">
      <c r="A135" s="61" t="s">
        <v>144</v>
      </c>
      <c r="B135" s="11">
        <v>650</v>
      </c>
      <c r="C135" s="12">
        <v>5</v>
      </c>
      <c r="D135" s="51" t="s">
        <v>65</v>
      </c>
      <c r="E135" s="86" t="s">
        <v>180</v>
      </c>
      <c r="F135" s="11"/>
      <c r="G135" s="106">
        <f>G136</f>
        <v>41703.17</v>
      </c>
      <c r="H135" s="107"/>
    </row>
    <row r="136" spans="1:9" s="49" customFormat="1" ht="25.5">
      <c r="A136" s="61" t="s">
        <v>109</v>
      </c>
      <c r="B136" s="58">
        <v>650</v>
      </c>
      <c r="C136" s="59">
        <v>5</v>
      </c>
      <c r="D136" s="62" t="s">
        <v>65</v>
      </c>
      <c r="E136" s="89" t="s">
        <v>179</v>
      </c>
      <c r="F136" s="11"/>
      <c r="G136" s="113">
        <f>G137+G140</f>
        <v>41703.17</v>
      </c>
      <c r="H136" s="107"/>
    </row>
    <row r="137" spans="1:9" s="49" customFormat="1" ht="25.5">
      <c r="A137" s="57" t="s">
        <v>72</v>
      </c>
      <c r="B137" s="58">
        <v>650</v>
      </c>
      <c r="C137" s="59">
        <v>5</v>
      </c>
      <c r="D137" s="62" t="s">
        <v>65</v>
      </c>
      <c r="E137" s="89" t="s">
        <v>179</v>
      </c>
      <c r="F137" s="58">
        <v>200</v>
      </c>
      <c r="G137" s="113">
        <f>G138</f>
        <v>41703.17</v>
      </c>
      <c r="H137" s="107"/>
      <c r="I137" s="145"/>
    </row>
    <row r="138" spans="1:9" s="49" customFormat="1" ht="25.5">
      <c r="A138" s="57" t="s">
        <v>53</v>
      </c>
      <c r="B138" s="58">
        <v>650</v>
      </c>
      <c r="C138" s="59">
        <v>5</v>
      </c>
      <c r="D138" s="62" t="s">
        <v>65</v>
      </c>
      <c r="E138" s="89" t="s">
        <v>179</v>
      </c>
      <c r="F138" s="58">
        <v>240</v>
      </c>
      <c r="G138" s="113">
        <f>G139</f>
        <v>41703.17</v>
      </c>
      <c r="H138" s="107"/>
    </row>
    <row r="139" spans="1:9" s="49" customFormat="1" ht="25.5">
      <c r="A139" s="61" t="s">
        <v>145</v>
      </c>
      <c r="B139" s="58">
        <v>650</v>
      </c>
      <c r="C139" s="59">
        <v>5</v>
      </c>
      <c r="D139" s="62" t="s">
        <v>65</v>
      </c>
      <c r="E139" s="89" t="s">
        <v>179</v>
      </c>
      <c r="F139" s="58">
        <v>243</v>
      </c>
      <c r="G139" s="113">
        <f>400000-250000-108296.83</f>
        <v>41703.17</v>
      </c>
      <c r="H139" s="107"/>
    </row>
    <row r="140" spans="1:9" s="49" customFormat="1">
      <c r="A140" s="57" t="s">
        <v>52</v>
      </c>
      <c r="B140" s="58">
        <v>650</v>
      </c>
      <c r="C140" s="59">
        <v>5</v>
      </c>
      <c r="D140" s="62" t="s">
        <v>65</v>
      </c>
      <c r="E140" s="89" t="s">
        <v>179</v>
      </c>
      <c r="F140" s="58">
        <v>800</v>
      </c>
      <c r="G140" s="113">
        <f>G141</f>
        <v>0</v>
      </c>
      <c r="H140" s="107"/>
    </row>
    <row r="141" spans="1:9" s="49" customFormat="1">
      <c r="A141" s="61" t="s">
        <v>102</v>
      </c>
      <c r="B141" s="58">
        <v>650</v>
      </c>
      <c r="C141" s="59">
        <v>5</v>
      </c>
      <c r="D141" s="62" t="s">
        <v>65</v>
      </c>
      <c r="E141" s="89" t="s">
        <v>179</v>
      </c>
      <c r="F141" s="58">
        <v>850</v>
      </c>
      <c r="G141" s="113">
        <f>G142</f>
        <v>0</v>
      </c>
      <c r="H141" s="107"/>
    </row>
    <row r="142" spans="1:9" s="49" customFormat="1">
      <c r="A142" s="61" t="s">
        <v>146</v>
      </c>
      <c r="B142" s="58">
        <v>650</v>
      </c>
      <c r="C142" s="59">
        <v>5</v>
      </c>
      <c r="D142" s="62" t="s">
        <v>65</v>
      </c>
      <c r="E142" s="89" t="s">
        <v>179</v>
      </c>
      <c r="F142" s="58">
        <v>853</v>
      </c>
      <c r="G142" s="113">
        <f>10000-10000</f>
        <v>0</v>
      </c>
      <c r="H142" s="107"/>
    </row>
    <row r="143" spans="1:9">
      <c r="A143" s="46" t="s">
        <v>0</v>
      </c>
      <c r="B143" s="11">
        <v>650</v>
      </c>
      <c r="C143" s="50">
        <v>5</v>
      </c>
      <c r="D143" s="51" t="s">
        <v>32</v>
      </c>
      <c r="E143" s="86"/>
      <c r="F143" s="11"/>
      <c r="G143" s="106">
        <f>G144</f>
        <v>6923034.2999999998</v>
      </c>
      <c r="H143" s="112"/>
    </row>
    <row r="144" spans="1:9">
      <c r="A144" s="61" t="s">
        <v>37</v>
      </c>
      <c r="B144" s="6">
        <v>650</v>
      </c>
      <c r="C144" s="37">
        <v>5</v>
      </c>
      <c r="D144" s="36" t="s">
        <v>32</v>
      </c>
      <c r="E144" s="87" t="s">
        <v>57</v>
      </c>
      <c r="F144" s="6"/>
      <c r="G144" s="110">
        <f>G146+G148</f>
        <v>6923034.2999999998</v>
      </c>
      <c r="H144" s="109"/>
    </row>
    <row r="145" spans="1:9" ht="29.25" customHeight="1">
      <c r="A145" s="53" t="s">
        <v>164</v>
      </c>
      <c r="B145" s="54">
        <v>650</v>
      </c>
      <c r="C145" s="102">
        <v>5</v>
      </c>
      <c r="D145" s="103" t="s">
        <v>32</v>
      </c>
      <c r="E145" s="89" t="s">
        <v>192</v>
      </c>
      <c r="F145" s="54"/>
      <c r="G145" s="118">
        <f>G146</f>
        <v>6230730.8700000001</v>
      </c>
      <c r="H145" s="109"/>
      <c r="I145" s="124"/>
    </row>
    <row r="146" spans="1:9">
      <c r="A146" s="61" t="s">
        <v>40</v>
      </c>
      <c r="B146" s="6">
        <v>650</v>
      </c>
      <c r="C146" s="37">
        <v>5</v>
      </c>
      <c r="D146" s="36" t="s">
        <v>32</v>
      </c>
      <c r="E146" s="87" t="s">
        <v>192</v>
      </c>
      <c r="F146" s="6">
        <v>500</v>
      </c>
      <c r="G146" s="110">
        <f>G147</f>
        <v>6230730.8700000001</v>
      </c>
      <c r="H146" s="109"/>
    </row>
    <row r="147" spans="1:9" ht="15.75" customHeight="1">
      <c r="A147" s="61" t="s">
        <v>50</v>
      </c>
      <c r="B147" s="6">
        <v>650</v>
      </c>
      <c r="C147" s="37">
        <v>5</v>
      </c>
      <c r="D147" s="36" t="s">
        <v>32</v>
      </c>
      <c r="E147" s="87" t="s">
        <v>192</v>
      </c>
      <c r="F147" s="6">
        <v>540</v>
      </c>
      <c r="G147" s="110">
        <f>6507500+2132500-1517679+355086-1246676.13</f>
        <v>6230730.8700000001</v>
      </c>
      <c r="H147" s="109"/>
    </row>
    <row r="148" spans="1:9" ht="32.25" customHeight="1">
      <c r="A148" s="61" t="s">
        <v>163</v>
      </c>
      <c r="B148" s="6">
        <v>650</v>
      </c>
      <c r="C148" s="37">
        <v>5</v>
      </c>
      <c r="D148" s="36" t="s">
        <v>32</v>
      </c>
      <c r="E148" s="87" t="s">
        <v>195</v>
      </c>
      <c r="F148" s="6"/>
      <c r="G148" s="110">
        <f>G149</f>
        <v>692303.42999999993</v>
      </c>
      <c r="H148" s="109"/>
    </row>
    <row r="149" spans="1:9" ht="15.75" customHeight="1">
      <c r="A149" s="61" t="s">
        <v>40</v>
      </c>
      <c r="B149" s="6">
        <v>650</v>
      </c>
      <c r="C149" s="37">
        <v>5</v>
      </c>
      <c r="D149" s="36" t="s">
        <v>32</v>
      </c>
      <c r="E149" s="87" t="s">
        <v>195</v>
      </c>
      <c r="F149" s="6">
        <v>500</v>
      </c>
      <c r="G149" s="110">
        <f>G150</f>
        <v>692303.42999999993</v>
      </c>
      <c r="H149" s="109"/>
    </row>
    <row r="150" spans="1:9" ht="17.25" customHeight="1">
      <c r="A150" s="61" t="s">
        <v>50</v>
      </c>
      <c r="B150" s="6">
        <v>650</v>
      </c>
      <c r="C150" s="37">
        <v>5</v>
      </c>
      <c r="D150" s="36" t="s">
        <v>32</v>
      </c>
      <c r="E150" s="87" t="s">
        <v>195</v>
      </c>
      <c r="F150" s="6">
        <v>540</v>
      </c>
      <c r="G150" s="110">
        <f>342500+617500-168631+39454-138519.57</f>
        <v>692303.42999999993</v>
      </c>
      <c r="H150" s="109"/>
    </row>
    <row r="151" spans="1:9" s="49" customFormat="1" ht="14.25" customHeight="1">
      <c r="A151" s="46" t="s">
        <v>18</v>
      </c>
      <c r="B151" s="11">
        <v>650</v>
      </c>
      <c r="C151" s="50">
        <v>5</v>
      </c>
      <c r="D151" s="51" t="s">
        <v>23</v>
      </c>
      <c r="E151" s="86"/>
      <c r="F151" s="11"/>
      <c r="G151" s="106">
        <f>G152</f>
        <v>5131802.68</v>
      </c>
      <c r="H151" s="112"/>
    </row>
    <row r="152" spans="1:9" s="49" customFormat="1" ht="42" customHeight="1">
      <c r="A152" s="46" t="s">
        <v>85</v>
      </c>
      <c r="B152" s="11">
        <v>650</v>
      </c>
      <c r="C152" s="50">
        <v>5</v>
      </c>
      <c r="D152" s="51" t="s">
        <v>23</v>
      </c>
      <c r="E152" s="86" t="s">
        <v>122</v>
      </c>
      <c r="F152" s="11"/>
      <c r="G152" s="106">
        <f>G153+G159+G164</f>
        <v>5131802.68</v>
      </c>
      <c r="H152" s="112"/>
    </row>
    <row r="153" spans="1:9" ht="16.5" customHeight="1">
      <c r="A153" s="46" t="s">
        <v>67</v>
      </c>
      <c r="B153" s="11">
        <v>650</v>
      </c>
      <c r="C153" s="50">
        <v>5</v>
      </c>
      <c r="D153" s="51" t="s">
        <v>23</v>
      </c>
      <c r="E153" s="86" t="s">
        <v>86</v>
      </c>
      <c r="F153" s="11"/>
      <c r="G153" s="106">
        <f>G154</f>
        <v>1284538.95</v>
      </c>
      <c r="H153" s="109"/>
    </row>
    <row r="154" spans="1:9" ht="18.75" customHeight="1">
      <c r="A154" s="78" t="s">
        <v>123</v>
      </c>
      <c r="B154" s="6">
        <v>650</v>
      </c>
      <c r="C154" s="37">
        <v>5</v>
      </c>
      <c r="D154" s="36" t="s">
        <v>23</v>
      </c>
      <c r="E154" s="87" t="s">
        <v>87</v>
      </c>
      <c r="F154" s="6"/>
      <c r="G154" s="110">
        <f>G155</f>
        <v>1284538.95</v>
      </c>
      <c r="H154" s="109"/>
    </row>
    <row r="155" spans="1:9" ht="16.5" customHeight="1">
      <c r="A155" s="78" t="s">
        <v>124</v>
      </c>
      <c r="B155" s="6">
        <v>650</v>
      </c>
      <c r="C155" s="37">
        <v>5</v>
      </c>
      <c r="D155" s="36" t="s">
        <v>23</v>
      </c>
      <c r="E155" s="87" t="s">
        <v>88</v>
      </c>
      <c r="F155" s="6"/>
      <c r="G155" s="110">
        <f>G156</f>
        <v>1284538.95</v>
      </c>
      <c r="H155" s="109"/>
      <c r="I155" s="124"/>
    </row>
    <row r="156" spans="1:9" ht="26.25" customHeight="1">
      <c r="A156" s="78" t="s">
        <v>72</v>
      </c>
      <c r="B156" s="6">
        <v>650</v>
      </c>
      <c r="C156" s="37">
        <v>5</v>
      </c>
      <c r="D156" s="36" t="s">
        <v>23</v>
      </c>
      <c r="E156" s="87" t="s">
        <v>88</v>
      </c>
      <c r="F156" s="6">
        <v>200</v>
      </c>
      <c r="G156" s="110">
        <f>G157</f>
        <v>1284538.95</v>
      </c>
      <c r="H156" s="109"/>
    </row>
    <row r="157" spans="1:9" ht="24.75" customHeight="1">
      <c r="A157" s="45" t="s">
        <v>53</v>
      </c>
      <c r="B157" s="6">
        <v>650</v>
      </c>
      <c r="C157" s="37">
        <v>5</v>
      </c>
      <c r="D157" s="36" t="s">
        <v>23</v>
      </c>
      <c r="E157" s="87" t="s">
        <v>88</v>
      </c>
      <c r="F157" s="6">
        <v>240</v>
      </c>
      <c r="G157" s="110">
        <f>G158</f>
        <v>1284538.95</v>
      </c>
      <c r="H157" s="109"/>
    </row>
    <row r="158" spans="1:9" ht="25.5">
      <c r="A158" s="45" t="s">
        <v>47</v>
      </c>
      <c r="B158" s="6">
        <v>650</v>
      </c>
      <c r="C158" s="37">
        <v>5</v>
      </c>
      <c r="D158" s="36" t="s">
        <v>23</v>
      </c>
      <c r="E158" s="87" t="s">
        <v>88</v>
      </c>
      <c r="F158" s="6">
        <v>244</v>
      </c>
      <c r="G158" s="110">
        <f>1400000-115461.05</f>
        <v>1284538.95</v>
      </c>
      <c r="H158" s="109"/>
    </row>
    <row r="159" spans="1:9" ht="25.5">
      <c r="A159" s="46" t="s">
        <v>89</v>
      </c>
      <c r="B159" s="11">
        <v>650</v>
      </c>
      <c r="C159" s="50">
        <v>5</v>
      </c>
      <c r="D159" s="51" t="s">
        <v>23</v>
      </c>
      <c r="E159" s="86" t="s">
        <v>84</v>
      </c>
      <c r="F159" s="11"/>
      <c r="G159" s="106">
        <f>G160</f>
        <v>0</v>
      </c>
      <c r="H159" s="109"/>
    </row>
    <row r="160" spans="1:9" ht="24" customHeight="1">
      <c r="A160" s="80" t="s">
        <v>125</v>
      </c>
      <c r="B160" s="6">
        <v>650</v>
      </c>
      <c r="C160" s="37">
        <v>5</v>
      </c>
      <c r="D160" s="36" t="s">
        <v>23</v>
      </c>
      <c r="E160" s="87" t="s">
        <v>126</v>
      </c>
      <c r="F160" s="6"/>
      <c r="G160" s="110">
        <f>G162</f>
        <v>0</v>
      </c>
      <c r="H160" s="109"/>
    </row>
    <row r="161" spans="1:9" ht="25.5">
      <c r="A161" s="45" t="s">
        <v>72</v>
      </c>
      <c r="B161" s="6">
        <v>650</v>
      </c>
      <c r="C161" s="37">
        <v>5</v>
      </c>
      <c r="D161" s="36" t="s">
        <v>23</v>
      </c>
      <c r="E161" s="87" t="s">
        <v>126</v>
      </c>
      <c r="F161" s="6">
        <v>200</v>
      </c>
      <c r="G161" s="110">
        <f>G162</f>
        <v>0</v>
      </c>
      <c r="H161" s="109"/>
      <c r="I161" s="124"/>
    </row>
    <row r="162" spans="1:9" ht="25.5">
      <c r="A162" s="45" t="s">
        <v>53</v>
      </c>
      <c r="B162" s="6">
        <v>650</v>
      </c>
      <c r="C162" s="37">
        <v>5</v>
      </c>
      <c r="D162" s="36" t="s">
        <v>23</v>
      </c>
      <c r="E162" s="87" t="s">
        <v>126</v>
      </c>
      <c r="F162" s="6">
        <v>240</v>
      </c>
      <c r="G162" s="110">
        <f>G163</f>
        <v>0</v>
      </c>
      <c r="H162" s="109"/>
    </row>
    <row r="163" spans="1:9" ht="25.5">
      <c r="A163" s="45" t="s">
        <v>47</v>
      </c>
      <c r="B163" s="6">
        <v>650</v>
      </c>
      <c r="C163" s="37">
        <v>5</v>
      </c>
      <c r="D163" s="36" t="s">
        <v>23</v>
      </c>
      <c r="E163" s="87" t="s">
        <v>126</v>
      </c>
      <c r="F163" s="6">
        <v>244</v>
      </c>
      <c r="G163" s="110">
        <f>220000-76000-52125-11280.36-80594.64</f>
        <v>0</v>
      </c>
      <c r="H163" s="109"/>
    </row>
    <row r="164" spans="1:9">
      <c r="A164" s="46" t="s">
        <v>127</v>
      </c>
      <c r="B164" s="11">
        <v>650</v>
      </c>
      <c r="C164" s="50">
        <v>5</v>
      </c>
      <c r="D164" s="51" t="s">
        <v>23</v>
      </c>
      <c r="E164" s="86" t="s">
        <v>128</v>
      </c>
      <c r="F164" s="11"/>
      <c r="G164" s="106">
        <f>G165</f>
        <v>3847263.7299999995</v>
      </c>
      <c r="H164" s="109"/>
    </row>
    <row r="165" spans="1:9" s="82" customFormat="1" ht="25.5">
      <c r="A165" s="61" t="s">
        <v>129</v>
      </c>
      <c r="B165" s="58">
        <v>650</v>
      </c>
      <c r="C165" s="81">
        <v>5</v>
      </c>
      <c r="D165" s="62" t="s">
        <v>23</v>
      </c>
      <c r="E165" s="89" t="s">
        <v>165</v>
      </c>
      <c r="F165" s="58"/>
      <c r="G165" s="113">
        <f>G174+G172+G167+G170+G176</f>
        <v>3847263.7299999995</v>
      </c>
      <c r="H165" s="119"/>
      <c r="I165" s="146"/>
    </row>
    <row r="166" spans="1:9" s="82" customFormat="1" ht="25.5">
      <c r="A166" s="61" t="s">
        <v>130</v>
      </c>
      <c r="B166" s="58">
        <v>650</v>
      </c>
      <c r="C166" s="81">
        <v>5</v>
      </c>
      <c r="D166" s="62" t="s">
        <v>23</v>
      </c>
      <c r="E166" s="87" t="s">
        <v>181</v>
      </c>
      <c r="F166" s="58"/>
      <c r="G166" s="113">
        <f>G167</f>
        <v>716122.79999999993</v>
      </c>
      <c r="H166" s="119"/>
    </row>
    <row r="167" spans="1:9" s="82" customFormat="1" ht="25.5">
      <c r="A167" s="45" t="s">
        <v>72</v>
      </c>
      <c r="B167" s="6">
        <v>650</v>
      </c>
      <c r="C167" s="37">
        <v>5</v>
      </c>
      <c r="D167" s="36" t="s">
        <v>23</v>
      </c>
      <c r="E167" s="87" t="s">
        <v>181</v>
      </c>
      <c r="F167" s="6">
        <v>200</v>
      </c>
      <c r="G167" s="110">
        <f>G168</f>
        <v>716122.79999999993</v>
      </c>
      <c r="H167" s="109"/>
    </row>
    <row r="168" spans="1:9" s="82" customFormat="1" ht="25.5">
      <c r="A168" s="45" t="s">
        <v>53</v>
      </c>
      <c r="B168" s="6">
        <v>650</v>
      </c>
      <c r="C168" s="37">
        <v>5</v>
      </c>
      <c r="D168" s="36" t="s">
        <v>23</v>
      </c>
      <c r="E168" s="87" t="s">
        <v>181</v>
      </c>
      <c r="F168" s="6">
        <v>240</v>
      </c>
      <c r="G168" s="110">
        <f>G169</f>
        <v>716122.79999999993</v>
      </c>
      <c r="H168" s="109"/>
    </row>
    <row r="169" spans="1:9" s="82" customFormat="1" ht="25.5">
      <c r="A169" s="45" t="s">
        <v>47</v>
      </c>
      <c r="B169" s="6">
        <v>650</v>
      </c>
      <c r="C169" s="37">
        <v>5</v>
      </c>
      <c r="D169" s="36" t="s">
        <v>23</v>
      </c>
      <c r="E169" s="87" t="s">
        <v>181</v>
      </c>
      <c r="F169" s="6">
        <v>244</v>
      </c>
      <c r="G169" s="110">
        <f>558843+100000+52125+8616.36-199500+99600+99900+2664-2664+50000-51343-2118.56</f>
        <v>716122.79999999993</v>
      </c>
      <c r="H169" s="109"/>
    </row>
    <row r="170" spans="1:9" s="82" customFormat="1">
      <c r="A170" s="61" t="s">
        <v>40</v>
      </c>
      <c r="B170" s="6">
        <v>650</v>
      </c>
      <c r="C170" s="37">
        <v>5</v>
      </c>
      <c r="D170" s="36" t="s">
        <v>23</v>
      </c>
      <c r="E170" s="87" t="s">
        <v>188</v>
      </c>
      <c r="F170" s="6">
        <v>500</v>
      </c>
      <c r="G170" s="110">
        <f>G171</f>
        <v>0</v>
      </c>
      <c r="H170" s="109"/>
    </row>
    <row r="171" spans="1:9" s="82" customFormat="1">
      <c r="A171" s="45" t="s">
        <v>194</v>
      </c>
      <c r="B171" s="6">
        <v>650</v>
      </c>
      <c r="C171" s="37">
        <v>5</v>
      </c>
      <c r="D171" s="36" t="s">
        <v>23</v>
      </c>
      <c r="E171" s="87" t="s">
        <v>188</v>
      </c>
      <c r="F171" s="6">
        <v>540</v>
      </c>
      <c r="G171" s="110">
        <f>847800-847800</f>
        <v>0</v>
      </c>
      <c r="H171" s="109"/>
    </row>
    <row r="172" spans="1:9" s="82" customFormat="1">
      <c r="A172" s="61" t="s">
        <v>40</v>
      </c>
      <c r="B172" s="6">
        <v>650</v>
      </c>
      <c r="C172" s="37">
        <v>5</v>
      </c>
      <c r="D172" s="36" t="s">
        <v>23</v>
      </c>
      <c r="E172" s="87" t="s">
        <v>188</v>
      </c>
      <c r="F172" s="6">
        <v>500</v>
      </c>
      <c r="G172" s="110">
        <f>G173</f>
        <v>0</v>
      </c>
      <c r="H172" s="109"/>
    </row>
    <row r="173" spans="1:9" s="82" customFormat="1">
      <c r="A173" s="45" t="s">
        <v>193</v>
      </c>
      <c r="B173" s="6">
        <v>650</v>
      </c>
      <c r="C173" s="37">
        <v>5</v>
      </c>
      <c r="D173" s="36" t="s">
        <v>23</v>
      </c>
      <c r="E173" s="87" t="s">
        <v>188</v>
      </c>
      <c r="F173" s="6">
        <v>540</v>
      </c>
      <c r="G173" s="110">
        <f>1978200-1978200</f>
        <v>0</v>
      </c>
      <c r="H173" s="109"/>
    </row>
    <row r="174" spans="1:9">
      <c r="A174" s="61" t="s">
        <v>40</v>
      </c>
      <c r="B174" s="6">
        <v>650</v>
      </c>
      <c r="C174" s="37">
        <v>5</v>
      </c>
      <c r="D174" s="36" t="s">
        <v>23</v>
      </c>
      <c r="E174" s="87" t="s">
        <v>189</v>
      </c>
      <c r="F174" s="6">
        <v>500</v>
      </c>
      <c r="G174" s="110">
        <f>G175</f>
        <v>0</v>
      </c>
      <c r="H174" s="109"/>
    </row>
    <row r="175" spans="1:9">
      <c r="A175" s="61" t="s">
        <v>50</v>
      </c>
      <c r="B175" s="6">
        <v>650</v>
      </c>
      <c r="C175" s="37">
        <v>5</v>
      </c>
      <c r="D175" s="36" t="s">
        <v>23</v>
      </c>
      <c r="E175" s="87" t="s">
        <v>189</v>
      </c>
      <c r="F175" s="6">
        <v>540</v>
      </c>
      <c r="G175" s="110">
        <f>314100-314100</f>
        <v>0</v>
      </c>
      <c r="H175" s="109"/>
    </row>
    <row r="176" spans="1:9">
      <c r="A176" s="61" t="s">
        <v>40</v>
      </c>
      <c r="B176" s="6">
        <v>650</v>
      </c>
      <c r="C176" s="37">
        <v>5</v>
      </c>
      <c r="D176" s="36" t="s">
        <v>23</v>
      </c>
      <c r="E176" s="87" t="s">
        <v>196</v>
      </c>
      <c r="F176" s="6">
        <v>500</v>
      </c>
      <c r="G176" s="110">
        <f>G177</f>
        <v>3131140.9299999997</v>
      </c>
      <c r="H176" s="109"/>
    </row>
    <row r="177" spans="1:9">
      <c r="A177" s="61" t="s">
        <v>50</v>
      </c>
      <c r="B177" s="6">
        <v>650</v>
      </c>
      <c r="C177" s="37">
        <v>5</v>
      </c>
      <c r="D177" s="36" t="s">
        <v>23</v>
      </c>
      <c r="E177" s="87" t="s">
        <v>196</v>
      </c>
      <c r="F177" s="6">
        <v>540</v>
      </c>
      <c r="G177" s="110">
        <f>600000+1270000+1270000-2295.83-5187.18-1376.06</f>
        <v>3131140.9299999997</v>
      </c>
      <c r="H177" s="109"/>
    </row>
    <row r="178" spans="1:9" s="49" customFormat="1">
      <c r="A178" s="46" t="s">
        <v>131</v>
      </c>
      <c r="B178" s="11">
        <v>650</v>
      </c>
      <c r="C178" s="50">
        <v>5</v>
      </c>
      <c r="D178" s="51" t="s">
        <v>132</v>
      </c>
      <c r="E178" s="86"/>
      <c r="F178" s="11"/>
      <c r="G178" s="106">
        <f>G179</f>
        <v>341147</v>
      </c>
      <c r="H178" s="112"/>
    </row>
    <row r="179" spans="1:9" ht="42" customHeight="1">
      <c r="A179" s="45" t="s">
        <v>138</v>
      </c>
      <c r="B179" s="58">
        <v>650</v>
      </c>
      <c r="C179" s="81">
        <v>5</v>
      </c>
      <c r="D179" s="62" t="s">
        <v>132</v>
      </c>
      <c r="E179" s="87" t="s">
        <v>60</v>
      </c>
      <c r="F179" s="6"/>
      <c r="G179" s="110">
        <f>G181</f>
        <v>341147</v>
      </c>
      <c r="H179" s="109"/>
    </row>
    <row r="180" spans="1:9" ht="65.25" customHeight="1">
      <c r="A180" s="45" t="s">
        <v>140</v>
      </c>
      <c r="B180" s="58">
        <v>650</v>
      </c>
      <c r="C180" s="81">
        <v>5</v>
      </c>
      <c r="D180" s="83" t="s">
        <v>132</v>
      </c>
      <c r="E180" s="87" t="s">
        <v>166</v>
      </c>
      <c r="F180" s="6"/>
      <c r="G180" s="110">
        <f>G181</f>
        <v>341147</v>
      </c>
      <c r="H180" s="109"/>
      <c r="I180" s="124"/>
    </row>
    <row r="181" spans="1:9">
      <c r="A181" s="45" t="s">
        <v>40</v>
      </c>
      <c r="B181" s="58">
        <v>650</v>
      </c>
      <c r="C181" s="81">
        <v>5</v>
      </c>
      <c r="D181" s="62" t="s">
        <v>132</v>
      </c>
      <c r="E181" s="87" t="s">
        <v>168</v>
      </c>
      <c r="F181" s="6">
        <v>500</v>
      </c>
      <c r="G181" s="110">
        <f>G182</f>
        <v>341147</v>
      </c>
      <c r="H181" s="109"/>
    </row>
    <row r="182" spans="1:9">
      <c r="A182" s="45" t="s">
        <v>97</v>
      </c>
      <c r="B182" s="58">
        <v>650</v>
      </c>
      <c r="C182" s="81">
        <v>5</v>
      </c>
      <c r="D182" s="62" t="s">
        <v>132</v>
      </c>
      <c r="E182" s="87" t="s">
        <v>168</v>
      </c>
      <c r="F182" s="6">
        <v>540</v>
      </c>
      <c r="G182" s="110">
        <f>338074+3073</f>
        <v>341147</v>
      </c>
      <c r="H182" s="109"/>
    </row>
    <row r="183" spans="1:9" s="49" customFormat="1" ht="32.25" customHeight="1">
      <c r="A183" s="46" t="str">
        <f>A184</f>
        <v>Субвенция на выполнение передаваемых полномочий по обращению с ТКО</v>
      </c>
      <c r="B183" s="11">
        <v>650</v>
      </c>
      <c r="C183" s="50">
        <v>6</v>
      </c>
      <c r="D183" s="51" t="s">
        <v>132</v>
      </c>
      <c r="E183" s="86" t="s">
        <v>60</v>
      </c>
      <c r="F183" s="11"/>
      <c r="G183" s="106">
        <f>G184</f>
        <v>1601.46</v>
      </c>
      <c r="H183" s="112">
        <f>G183</f>
        <v>1601.46</v>
      </c>
    </row>
    <row r="184" spans="1:9" ht="25.5">
      <c r="A184" s="45" t="s">
        <v>207</v>
      </c>
      <c r="B184" s="58">
        <v>650</v>
      </c>
      <c r="C184" s="81">
        <v>6</v>
      </c>
      <c r="D184" s="83" t="s">
        <v>132</v>
      </c>
      <c r="E184" s="87" t="s">
        <v>166</v>
      </c>
      <c r="F184" s="6">
        <v>100</v>
      </c>
      <c r="G184" s="110">
        <f>G185+G186</f>
        <v>1601.46</v>
      </c>
      <c r="H184" s="109">
        <f>G184</f>
        <v>1601.46</v>
      </c>
    </row>
    <row r="185" spans="1:9">
      <c r="A185" s="45" t="s">
        <v>206</v>
      </c>
      <c r="B185" s="58">
        <v>650</v>
      </c>
      <c r="C185" s="81">
        <v>6</v>
      </c>
      <c r="D185" s="83" t="s">
        <v>132</v>
      </c>
      <c r="E185" s="87" t="s">
        <v>204</v>
      </c>
      <c r="F185" s="6">
        <v>111</v>
      </c>
      <c r="G185" s="110">
        <v>1230</v>
      </c>
      <c r="H185" s="109">
        <f>G185</f>
        <v>1230</v>
      </c>
    </row>
    <row r="186" spans="1:9">
      <c r="A186" s="45" t="s">
        <v>205</v>
      </c>
      <c r="B186" s="58">
        <v>650</v>
      </c>
      <c r="C186" s="81">
        <v>6</v>
      </c>
      <c r="D186" s="83" t="s">
        <v>132</v>
      </c>
      <c r="E186" s="87" t="s">
        <v>204</v>
      </c>
      <c r="F186" s="6">
        <v>119</v>
      </c>
      <c r="G186" s="110">
        <v>371.46</v>
      </c>
      <c r="H186" s="109">
        <f>G186</f>
        <v>371.46</v>
      </c>
    </row>
    <row r="187" spans="1:9" s="49" customFormat="1">
      <c r="A187" s="46" t="s">
        <v>12</v>
      </c>
      <c r="B187" s="11">
        <v>650</v>
      </c>
      <c r="C187" s="51" t="s">
        <v>21</v>
      </c>
      <c r="D187" s="51" t="s">
        <v>49</v>
      </c>
      <c r="E187" s="86"/>
      <c r="F187" s="51"/>
      <c r="G187" s="106">
        <f t="shared" ref="G187:G189" si="1">G188</f>
        <v>208510.96</v>
      </c>
      <c r="H187" s="107"/>
    </row>
    <row r="188" spans="1:9" ht="12.75" customHeight="1">
      <c r="A188" s="45" t="s">
        <v>15</v>
      </c>
      <c r="B188" s="6">
        <v>650</v>
      </c>
      <c r="C188" s="7">
        <v>7</v>
      </c>
      <c r="D188" s="8">
        <v>7</v>
      </c>
      <c r="E188" s="87"/>
      <c r="F188" s="6"/>
      <c r="G188" s="110">
        <f t="shared" si="1"/>
        <v>208510.96</v>
      </c>
      <c r="H188" s="109"/>
      <c r="I188" s="124"/>
    </row>
    <row r="189" spans="1:9" ht="39.75" customHeight="1">
      <c r="A189" s="46" t="s">
        <v>82</v>
      </c>
      <c r="B189" s="11">
        <v>650</v>
      </c>
      <c r="C189" s="12">
        <v>7</v>
      </c>
      <c r="D189" s="52">
        <v>7</v>
      </c>
      <c r="E189" s="86" t="s">
        <v>62</v>
      </c>
      <c r="F189" s="11"/>
      <c r="G189" s="106">
        <f t="shared" si="1"/>
        <v>208510.96</v>
      </c>
      <c r="H189" s="109"/>
    </row>
    <row r="190" spans="1:9" ht="15" customHeight="1">
      <c r="A190" s="46" t="s">
        <v>83</v>
      </c>
      <c r="B190" s="11">
        <v>650</v>
      </c>
      <c r="C190" s="12">
        <v>7</v>
      </c>
      <c r="D190" s="52">
        <v>7</v>
      </c>
      <c r="E190" s="86" t="s">
        <v>64</v>
      </c>
      <c r="F190" s="11"/>
      <c r="G190" s="106">
        <f>G193+G196+G199+G200+G201</f>
        <v>208510.96</v>
      </c>
      <c r="H190" s="109"/>
    </row>
    <row r="191" spans="1:9" ht="29.25" customHeight="1">
      <c r="A191" s="45" t="s">
        <v>133</v>
      </c>
      <c r="B191" s="6">
        <v>650</v>
      </c>
      <c r="C191" s="7">
        <v>7</v>
      </c>
      <c r="D191" s="8">
        <v>7</v>
      </c>
      <c r="E191" s="87" t="s">
        <v>134</v>
      </c>
      <c r="F191" s="6"/>
      <c r="G191" s="110">
        <f>G193+G196</f>
        <v>140505.37</v>
      </c>
      <c r="H191" s="109"/>
      <c r="I191" s="124"/>
    </row>
    <row r="192" spans="1:9" ht="52.5" customHeight="1">
      <c r="A192" s="45" t="s">
        <v>100</v>
      </c>
      <c r="B192" s="6">
        <v>650</v>
      </c>
      <c r="C192" s="7">
        <v>7</v>
      </c>
      <c r="D192" s="8">
        <v>7</v>
      </c>
      <c r="E192" s="87" t="s">
        <v>134</v>
      </c>
      <c r="F192" s="6">
        <v>100</v>
      </c>
      <c r="G192" s="110">
        <f>G193</f>
        <v>127761.35</v>
      </c>
      <c r="H192" s="109"/>
    </row>
    <row r="193" spans="1:9">
      <c r="A193" s="45" t="s">
        <v>54</v>
      </c>
      <c r="B193" s="6">
        <v>650</v>
      </c>
      <c r="C193" s="7">
        <v>7</v>
      </c>
      <c r="D193" s="8">
        <v>7</v>
      </c>
      <c r="E193" s="87" t="s">
        <v>134</v>
      </c>
      <c r="F193" s="6">
        <v>110</v>
      </c>
      <c r="G193" s="110">
        <f>G194+G195</f>
        <v>127761.35</v>
      </c>
      <c r="H193" s="109"/>
    </row>
    <row r="194" spans="1:9">
      <c r="A194" s="45" t="s">
        <v>106</v>
      </c>
      <c r="B194" s="6">
        <v>650</v>
      </c>
      <c r="C194" s="7">
        <v>7</v>
      </c>
      <c r="D194" s="8">
        <v>7</v>
      </c>
      <c r="E194" s="87" t="s">
        <v>134</v>
      </c>
      <c r="F194" s="6">
        <v>111</v>
      </c>
      <c r="G194" s="110">
        <f>255000-124941.3-34232+2168.03-2168.03</f>
        <v>95826.7</v>
      </c>
      <c r="H194" s="114"/>
    </row>
    <row r="195" spans="1:9" ht="38.25">
      <c r="A195" s="45" t="s">
        <v>71</v>
      </c>
      <c r="B195" s="6">
        <v>650</v>
      </c>
      <c r="C195" s="7">
        <v>7</v>
      </c>
      <c r="D195" s="8">
        <v>7</v>
      </c>
      <c r="E195" s="87" t="s">
        <v>134</v>
      </c>
      <c r="F195" s="6">
        <v>119</v>
      </c>
      <c r="G195" s="110">
        <f>77000-34628.89-10338.06-98.4</f>
        <v>31934.65</v>
      </c>
      <c r="H195" s="114"/>
    </row>
    <row r="196" spans="1:9" ht="15.75" customHeight="1">
      <c r="A196" s="45" t="s">
        <v>54</v>
      </c>
      <c r="B196" s="6">
        <v>650</v>
      </c>
      <c r="C196" s="7">
        <v>7</v>
      </c>
      <c r="D196" s="8">
        <v>7</v>
      </c>
      <c r="E196" s="87" t="s">
        <v>187</v>
      </c>
      <c r="F196" s="6">
        <v>110</v>
      </c>
      <c r="G196" s="110">
        <f>G197+G198</f>
        <v>12744.019999999997</v>
      </c>
      <c r="H196" s="109"/>
    </row>
    <row r="197" spans="1:9" ht="28.5" customHeight="1">
      <c r="A197" s="45" t="s">
        <v>106</v>
      </c>
      <c r="B197" s="6">
        <v>650</v>
      </c>
      <c r="C197" s="7">
        <v>7</v>
      </c>
      <c r="D197" s="8">
        <v>7</v>
      </c>
      <c r="E197" s="87" t="s">
        <v>187</v>
      </c>
      <c r="F197" s="6">
        <v>111</v>
      </c>
      <c r="G197" s="110">
        <f>58210.45-34083.1-14885.2</f>
        <v>9242.1499999999978</v>
      </c>
      <c r="H197" s="114"/>
    </row>
    <row r="198" spans="1:9" ht="38.25" customHeight="1">
      <c r="A198" s="45" t="s">
        <v>71</v>
      </c>
      <c r="B198" s="6">
        <v>650</v>
      </c>
      <c r="C198" s="7">
        <v>7</v>
      </c>
      <c r="D198" s="8">
        <v>7</v>
      </c>
      <c r="E198" s="87" t="s">
        <v>187</v>
      </c>
      <c r="F198" s="6">
        <v>119</v>
      </c>
      <c r="G198" s="110">
        <f>17579.55-9582.35-4495.33</f>
        <v>3501.869999999999</v>
      </c>
      <c r="H198" s="114"/>
    </row>
    <row r="199" spans="1:9" ht="38.25" customHeight="1">
      <c r="A199" s="45" t="s">
        <v>97</v>
      </c>
      <c r="B199" s="6">
        <v>650</v>
      </c>
      <c r="C199" s="7">
        <v>7</v>
      </c>
      <c r="D199" s="8">
        <v>7</v>
      </c>
      <c r="E199" s="87" t="s">
        <v>201</v>
      </c>
      <c r="F199" s="6">
        <v>540</v>
      </c>
      <c r="G199" s="110">
        <f>44570.06+2945</f>
        <v>47515.06</v>
      </c>
      <c r="H199" s="114"/>
    </row>
    <row r="200" spans="1:9" ht="38.25" customHeight="1">
      <c r="A200" s="45" t="s">
        <v>97</v>
      </c>
      <c r="B200" s="6">
        <v>650</v>
      </c>
      <c r="C200" s="7">
        <v>7</v>
      </c>
      <c r="D200" s="8">
        <v>7</v>
      </c>
      <c r="E200" s="87" t="s">
        <v>187</v>
      </c>
      <c r="F200" s="6">
        <v>540</v>
      </c>
      <c r="G200" s="110">
        <v>19380.53</v>
      </c>
      <c r="H200" s="114"/>
    </row>
    <row r="201" spans="1:9" ht="38.25" customHeight="1">
      <c r="A201" s="45" t="s">
        <v>97</v>
      </c>
      <c r="B201" s="6">
        <v>650</v>
      </c>
      <c r="C201" s="7">
        <v>7</v>
      </c>
      <c r="D201" s="8">
        <v>7</v>
      </c>
      <c r="E201" s="87" t="s">
        <v>202</v>
      </c>
      <c r="F201" s="6">
        <v>540</v>
      </c>
      <c r="G201" s="110">
        <v>1110</v>
      </c>
      <c r="H201" s="114"/>
    </row>
    <row r="202" spans="1:9" s="49" customFormat="1" ht="15" customHeight="1">
      <c r="A202" s="46" t="s">
        <v>36</v>
      </c>
      <c r="B202" s="11">
        <v>650</v>
      </c>
      <c r="C202" s="12">
        <v>8</v>
      </c>
      <c r="D202" s="51" t="s">
        <v>49</v>
      </c>
      <c r="E202" s="86"/>
      <c r="F202" s="11"/>
      <c r="G202" s="106">
        <f>G203</f>
        <v>24450575.755999997</v>
      </c>
      <c r="H202" s="112"/>
    </row>
    <row r="203" spans="1:9" s="49" customFormat="1">
      <c r="A203" s="46" t="s">
        <v>13</v>
      </c>
      <c r="B203" s="11">
        <v>650</v>
      </c>
      <c r="C203" s="12">
        <v>8</v>
      </c>
      <c r="D203" s="12">
        <v>1</v>
      </c>
      <c r="E203" s="86"/>
      <c r="F203" s="11"/>
      <c r="G203" s="106">
        <f>G204+G234+G238+G223</f>
        <v>24450575.755999997</v>
      </c>
      <c r="H203" s="107"/>
    </row>
    <row r="204" spans="1:9" ht="38.25">
      <c r="A204" s="46" t="s">
        <v>81</v>
      </c>
      <c r="B204" s="11">
        <v>650</v>
      </c>
      <c r="C204" s="12">
        <v>8</v>
      </c>
      <c r="D204" s="12">
        <v>1</v>
      </c>
      <c r="E204" s="86" t="s">
        <v>62</v>
      </c>
      <c r="F204" s="11"/>
      <c r="G204" s="106">
        <f>G205+G230</f>
        <v>17066878.555999998</v>
      </c>
      <c r="H204" s="114"/>
    </row>
    <row r="205" spans="1:9">
      <c r="A205" s="46" t="s">
        <v>68</v>
      </c>
      <c r="B205" s="11">
        <v>650</v>
      </c>
      <c r="C205" s="12">
        <v>8</v>
      </c>
      <c r="D205" s="12">
        <v>1</v>
      </c>
      <c r="E205" s="86" t="s">
        <v>63</v>
      </c>
      <c r="F205" s="11"/>
      <c r="G205" s="106">
        <f>G206+G226</f>
        <v>16966878.555999998</v>
      </c>
      <c r="H205" s="114"/>
    </row>
    <row r="206" spans="1:9" ht="25.5">
      <c r="A206" s="45" t="s">
        <v>133</v>
      </c>
      <c r="B206" s="6">
        <v>650</v>
      </c>
      <c r="C206" s="7">
        <v>8</v>
      </c>
      <c r="D206" s="7">
        <v>1</v>
      </c>
      <c r="E206" s="87" t="s">
        <v>135</v>
      </c>
      <c r="F206" s="6"/>
      <c r="G206" s="110">
        <f>G207+G212+G216+G220</f>
        <v>16926878.555999998</v>
      </c>
      <c r="H206" s="114"/>
      <c r="I206" s="124"/>
    </row>
    <row r="207" spans="1:9" ht="55.5" customHeight="1">
      <c r="A207" s="45" t="s">
        <v>100</v>
      </c>
      <c r="B207" s="6">
        <v>650</v>
      </c>
      <c r="C207" s="7">
        <v>8</v>
      </c>
      <c r="D207" s="7">
        <v>1</v>
      </c>
      <c r="E207" s="87" t="s">
        <v>136</v>
      </c>
      <c r="F207" s="6">
        <v>100</v>
      </c>
      <c r="G207" s="110">
        <f>G208</f>
        <v>11991773.786</v>
      </c>
      <c r="H207" s="114"/>
      <c r="I207" s="124"/>
    </row>
    <row r="208" spans="1:9">
      <c r="A208" s="45" t="s">
        <v>54</v>
      </c>
      <c r="B208" s="6">
        <v>650</v>
      </c>
      <c r="C208" s="7">
        <v>8</v>
      </c>
      <c r="D208" s="7">
        <v>1</v>
      </c>
      <c r="E208" s="87" t="s">
        <v>136</v>
      </c>
      <c r="F208" s="6">
        <v>110</v>
      </c>
      <c r="G208" s="110">
        <f>G209+G210+G211</f>
        <v>11991773.786</v>
      </c>
      <c r="H208" s="114"/>
    </row>
    <row r="209" spans="1:8" ht="24.75" customHeight="1">
      <c r="A209" s="45" t="s">
        <v>106</v>
      </c>
      <c r="B209" s="6">
        <v>650</v>
      </c>
      <c r="C209" s="7">
        <v>8</v>
      </c>
      <c r="D209" s="7">
        <v>1</v>
      </c>
      <c r="E209" s="87" t="s">
        <v>136</v>
      </c>
      <c r="F209" s="6">
        <v>111</v>
      </c>
      <c r="G209" s="110">
        <f>9841500+307995.25-373155.354-268344.3-389145.91</f>
        <v>9118849.6859999988</v>
      </c>
      <c r="H209" s="109"/>
    </row>
    <row r="210" spans="1:8" ht="45" customHeight="1">
      <c r="A210" s="45" t="s">
        <v>48</v>
      </c>
      <c r="B210" s="6">
        <v>650</v>
      </c>
      <c r="C210" s="7">
        <v>8</v>
      </c>
      <c r="D210" s="7">
        <v>1</v>
      </c>
      <c r="E210" s="87" t="s">
        <v>136</v>
      </c>
      <c r="F210" s="6">
        <v>112</v>
      </c>
      <c r="G210" s="110">
        <f>100000+173148.64</f>
        <v>273148.64</v>
      </c>
      <c r="H210" s="109"/>
    </row>
    <row r="211" spans="1:8" ht="45" customHeight="1">
      <c r="A211" s="45" t="s">
        <v>71</v>
      </c>
      <c r="B211" s="6">
        <v>650</v>
      </c>
      <c r="C211" s="7">
        <v>8</v>
      </c>
      <c r="D211" s="7">
        <v>1</v>
      </c>
      <c r="E211" s="87" t="s">
        <v>136</v>
      </c>
      <c r="F211" s="6">
        <v>119</v>
      </c>
      <c r="G211" s="110">
        <f>2851000+93014.56-177000+40452.7-207691.8</f>
        <v>2599775.4600000004</v>
      </c>
      <c r="H211" s="109"/>
    </row>
    <row r="212" spans="1:8" ht="29.25" customHeight="1">
      <c r="A212" s="45" t="s">
        <v>72</v>
      </c>
      <c r="B212" s="6">
        <v>650</v>
      </c>
      <c r="C212" s="7">
        <v>8</v>
      </c>
      <c r="D212" s="7">
        <v>1</v>
      </c>
      <c r="E212" s="87" t="s">
        <v>136</v>
      </c>
      <c r="F212" s="6">
        <v>200</v>
      </c>
      <c r="G212" s="110">
        <f>G213</f>
        <v>3603409.9499999997</v>
      </c>
      <c r="H212" s="109"/>
    </row>
    <row r="213" spans="1:8" ht="24" customHeight="1">
      <c r="A213" s="45" t="s">
        <v>53</v>
      </c>
      <c r="B213" s="6">
        <v>650</v>
      </c>
      <c r="C213" s="7">
        <v>8</v>
      </c>
      <c r="D213" s="7">
        <v>1</v>
      </c>
      <c r="E213" s="87" t="s">
        <v>136</v>
      </c>
      <c r="F213" s="6">
        <v>240</v>
      </c>
      <c r="G213" s="110">
        <f>G214+G215</f>
        <v>3603409.9499999997</v>
      </c>
      <c r="H213" s="109"/>
    </row>
    <row r="214" spans="1:8" ht="27" customHeight="1">
      <c r="A214" s="45" t="s">
        <v>107</v>
      </c>
      <c r="B214" s="6">
        <v>650</v>
      </c>
      <c r="C214" s="7">
        <v>8</v>
      </c>
      <c r="D214" s="7">
        <v>1</v>
      </c>
      <c r="E214" s="87" t="s">
        <v>136</v>
      </c>
      <c r="F214" s="6">
        <v>242</v>
      </c>
      <c r="G214" s="110">
        <f>263400-56600+30000+46950-2168.03-520.07+11400-7964.88+6000-2125.65</f>
        <v>288371.36999999994</v>
      </c>
      <c r="H214" s="109"/>
    </row>
    <row r="215" spans="1:8" ht="27.75" customHeight="1">
      <c r="A215" s="45" t="s">
        <v>47</v>
      </c>
      <c r="B215" s="6">
        <v>650</v>
      </c>
      <c r="C215" s="7">
        <v>8</v>
      </c>
      <c r="D215" s="7">
        <v>1</v>
      </c>
      <c r="E215" s="87" t="s">
        <v>136</v>
      </c>
      <c r="F215" s="6">
        <v>244</v>
      </c>
      <c r="G215" s="110">
        <f>2023000+56600+76000+15000+13400+48279+130050+135985+16000+97741.41+25000+124941.3+50182.89+5000+1672.88+30000+112000+18500+187644.3+46500+14200+20000+99990-30061.22+279.99-0.02-2866.95</f>
        <v>3315038.5799999996</v>
      </c>
      <c r="H215" s="109"/>
    </row>
    <row r="216" spans="1:8" ht="27.75" customHeight="1">
      <c r="A216" s="45" t="s">
        <v>52</v>
      </c>
      <c r="B216" s="6">
        <v>650</v>
      </c>
      <c r="C216" s="7">
        <v>8</v>
      </c>
      <c r="D216" s="7">
        <v>1</v>
      </c>
      <c r="E216" s="87" t="s">
        <v>136</v>
      </c>
      <c r="F216" s="6">
        <v>800</v>
      </c>
      <c r="G216" s="110">
        <f>G217</f>
        <v>1311694.82</v>
      </c>
      <c r="H216" s="109"/>
    </row>
    <row r="217" spans="1:8" ht="24" customHeight="1">
      <c r="A217" s="45" t="s">
        <v>59</v>
      </c>
      <c r="B217" s="6">
        <v>650</v>
      </c>
      <c r="C217" s="7">
        <v>8</v>
      </c>
      <c r="D217" s="7">
        <v>1</v>
      </c>
      <c r="E217" s="87" t="s">
        <v>136</v>
      </c>
      <c r="F217" s="6">
        <v>850</v>
      </c>
      <c r="G217" s="110">
        <f>G218+G219</f>
        <v>1311694.82</v>
      </c>
      <c r="H217" s="109"/>
    </row>
    <row r="218" spans="1:8" ht="21.75" customHeight="1">
      <c r="A218" s="45" t="s">
        <v>96</v>
      </c>
      <c r="B218" s="6">
        <v>650</v>
      </c>
      <c r="C218" s="7">
        <v>8</v>
      </c>
      <c r="D218" s="7">
        <v>1</v>
      </c>
      <c r="E218" s="87" t="s">
        <v>136</v>
      </c>
      <c r="F218" s="6">
        <v>851</v>
      </c>
      <c r="G218" s="110">
        <f>1315200-10286.38+81.2</f>
        <v>1304994.82</v>
      </c>
      <c r="H218" s="109"/>
    </row>
    <row r="219" spans="1:8" ht="21.75" customHeight="1">
      <c r="A219" s="45" t="s">
        <v>108</v>
      </c>
      <c r="B219" s="6">
        <v>650</v>
      </c>
      <c r="C219" s="7">
        <v>8</v>
      </c>
      <c r="D219" s="7">
        <v>1</v>
      </c>
      <c r="E219" s="87" t="s">
        <v>136</v>
      </c>
      <c r="F219" s="6">
        <v>852</v>
      </c>
      <c r="G219" s="110">
        <v>6700</v>
      </c>
      <c r="H219" s="109"/>
    </row>
    <row r="220" spans="1:8" ht="25.5">
      <c r="A220" s="45" t="s">
        <v>72</v>
      </c>
      <c r="B220" s="6">
        <v>650</v>
      </c>
      <c r="C220" s="7">
        <v>8</v>
      </c>
      <c r="D220" s="7">
        <v>1</v>
      </c>
      <c r="E220" s="87" t="s">
        <v>190</v>
      </c>
      <c r="F220" s="6">
        <v>200</v>
      </c>
      <c r="G220" s="110">
        <f>G221</f>
        <v>20000</v>
      </c>
      <c r="H220" s="109"/>
    </row>
    <row r="221" spans="1:8" ht="25.5">
      <c r="A221" s="45" t="s">
        <v>53</v>
      </c>
      <c r="B221" s="6">
        <v>650</v>
      </c>
      <c r="C221" s="7">
        <v>8</v>
      </c>
      <c r="D221" s="7">
        <v>1</v>
      </c>
      <c r="E221" s="87" t="s">
        <v>190</v>
      </c>
      <c r="F221" s="6">
        <v>240</v>
      </c>
      <c r="G221" s="110">
        <f>G222</f>
        <v>20000</v>
      </c>
      <c r="H221" s="109"/>
    </row>
    <row r="222" spans="1:8" ht="25.5">
      <c r="A222" s="45" t="s">
        <v>47</v>
      </c>
      <c r="B222" s="6">
        <v>650</v>
      </c>
      <c r="C222" s="7">
        <v>8</v>
      </c>
      <c r="D222" s="7">
        <v>1</v>
      </c>
      <c r="E222" s="87" t="s">
        <v>190</v>
      </c>
      <c r="F222" s="6">
        <v>244</v>
      </c>
      <c r="G222" s="110">
        <v>20000</v>
      </c>
      <c r="H222" s="109"/>
    </row>
    <row r="223" spans="1:8" ht="0.75" customHeight="1">
      <c r="A223" s="147" t="s">
        <v>185</v>
      </c>
      <c r="B223" s="138">
        <v>650</v>
      </c>
      <c r="C223" s="139">
        <v>8</v>
      </c>
      <c r="D223" s="139">
        <v>1</v>
      </c>
      <c r="E223" s="140" t="s">
        <v>186</v>
      </c>
      <c r="F223" s="138"/>
      <c r="G223" s="141">
        <f>G224</f>
        <v>0</v>
      </c>
      <c r="H223" s="109"/>
    </row>
    <row r="224" spans="1:8" ht="25.5">
      <c r="A224" s="148" t="s">
        <v>72</v>
      </c>
      <c r="B224" s="6">
        <v>650</v>
      </c>
      <c r="C224" s="149">
        <v>8</v>
      </c>
      <c r="D224" s="149">
        <v>1</v>
      </c>
      <c r="E224" s="150" t="s">
        <v>186</v>
      </c>
      <c r="F224" s="151">
        <v>200</v>
      </c>
      <c r="G224" s="152">
        <f>G225</f>
        <v>0</v>
      </c>
      <c r="H224" s="109"/>
    </row>
    <row r="225" spans="1:9" ht="25.5">
      <c r="A225" s="148" t="s">
        <v>53</v>
      </c>
      <c r="B225" s="6">
        <v>650</v>
      </c>
      <c r="C225" s="149">
        <v>8</v>
      </c>
      <c r="D225" s="149">
        <v>1</v>
      </c>
      <c r="E225" s="150" t="s">
        <v>186</v>
      </c>
      <c r="F225" s="151">
        <v>240</v>
      </c>
      <c r="G225" s="152">
        <v>0</v>
      </c>
      <c r="H225" s="109"/>
    </row>
    <row r="226" spans="1:9" s="49" customFormat="1" ht="25.5">
      <c r="A226" s="46" t="s">
        <v>150</v>
      </c>
      <c r="B226" s="11">
        <v>650</v>
      </c>
      <c r="C226" s="12">
        <v>8</v>
      </c>
      <c r="D226" s="12">
        <v>1</v>
      </c>
      <c r="E226" s="86" t="s">
        <v>147</v>
      </c>
      <c r="F226" s="11"/>
      <c r="G226" s="106">
        <f>G227</f>
        <v>40000</v>
      </c>
      <c r="H226" s="112"/>
      <c r="I226" s="145"/>
    </row>
    <row r="227" spans="1:9" ht="25.5">
      <c r="A227" s="45" t="s">
        <v>72</v>
      </c>
      <c r="B227" s="6">
        <v>650</v>
      </c>
      <c r="C227" s="7">
        <v>8</v>
      </c>
      <c r="D227" s="7">
        <v>1</v>
      </c>
      <c r="E227" s="87" t="s">
        <v>148</v>
      </c>
      <c r="F227" s="6">
        <v>200</v>
      </c>
      <c r="G227" s="110">
        <f>G228</f>
        <v>40000</v>
      </c>
      <c r="H227" s="109"/>
    </row>
    <row r="228" spans="1:9" ht="25.5">
      <c r="A228" s="45" t="s">
        <v>53</v>
      </c>
      <c r="B228" s="6">
        <v>650</v>
      </c>
      <c r="C228" s="7">
        <v>8</v>
      </c>
      <c r="D228" s="7">
        <v>1</v>
      </c>
      <c r="E228" s="87" t="s">
        <v>148</v>
      </c>
      <c r="F228" s="6">
        <v>240</v>
      </c>
      <c r="G228" s="110">
        <f>G229</f>
        <v>40000</v>
      </c>
      <c r="H228" s="109"/>
    </row>
    <row r="229" spans="1:9" ht="25.5">
      <c r="A229" s="45" t="s">
        <v>47</v>
      </c>
      <c r="B229" s="6">
        <v>650</v>
      </c>
      <c r="C229" s="7">
        <v>8</v>
      </c>
      <c r="D229" s="7">
        <v>1</v>
      </c>
      <c r="E229" s="87" t="s">
        <v>148</v>
      </c>
      <c r="F229" s="6">
        <v>244</v>
      </c>
      <c r="G229" s="110">
        <v>40000</v>
      </c>
      <c r="H229" s="109"/>
    </row>
    <row r="230" spans="1:9" s="49" customFormat="1" ht="38.25">
      <c r="A230" s="46" t="s">
        <v>185</v>
      </c>
      <c r="B230" s="11">
        <v>650</v>
      </c>
      <c r="C230" s="12">
        <v>8</v>
      </c>
      <c r="D230" s="12">
        <v>1</v>
      </c>
      <c r="E230" s="86" t="s">
        <v>186</v>
      </c>
      <c r="F230" s="11"/>
      <c r="G230" s="106">
        <f>G231</f>
        <v>100000</v>
      </c>
      <c r="H230" s="112"/>
      <c r="I230" s="145"/>
    </row>
    <row r="231" spans="1:9" ht="25.5">
      <c r="A231" s="45" t="s">
        <v>72</v>
      </c>
      <c r="B231" s="6">
        <v>650</v>
      </c>
      <c r="C231" s="7">
        <v>8</v>
      </c>
      <c r="D231" s="7">
        <v>1</v>
      </c>
      <c r="E231" s="87" t="s">
        <v>186</v>
      </c>
      <c r="F231" s="6">
        <v>200</v>
      </c>
      <c r="G231" s="110">
        <f>G232</f>
        <v>100000</v>
      </c>
      <c r="H231" s="109"/>
    </row>
    <row r="232" spans="1:9" ht="25.5">
      <c r="A232" s="45" t="s">
        <v>53</v>
      </c>
      <c r="B232" s="6">
        <v>650</v>
      </c>
      <c r="C232" s="7">
        <v>8</v>
      </c>
      <c r="D232" s="7">
        <v>1</v>
      </c>
      <c r="E232" s="87" t="s">
        <v>186</v>
      </c>
      <c r="F232" s="6">
        <v>240</v>
      </c>
      <c r="G232" s="110">
        <f>G233</f>
        <v>100000</v>
      </c>
      <c r="H232" s="109"/>
    </row>
    <row r="233" spans="1:9" ht="25.5">
      <c r="A233" s="45" t="s">
        <v>47</v>
      </c>
      <c r="B233" s="6">
        <v>650</v>
      </c>
      <c r="C233" s="7">
        <v>8</v>
      </c>
      <c r="D233" s="7">
        <v>1</v>
      </c>
      <c r="E233" s="87" t="s">
        <v>186</v>
      </c>
      <c r="F233" s="6">
        <v>244</v>
      </c>
      <c r="G233" s="110">
        <v>100000</v>
      </c>
      <c r="H233" s="109"/>
    </row>
    <row r="234" spans="1:9" s="49" customFormat="1" ht="25.5" customHeight="1">
      <c r="A234" s="46" t="s">
        <v>159</v>
      </c>
      <c r="B234" s="11">
        <v>650</v>
      </c>
      <c r="C234" s="12">
        <v>8</v>
      </c>
      <c r="D234" s="12">
        <v>1</v>
      </c>
      <c r="E234" s="86" t="s">
        <v>183</v>
      </c>
      <c r="F234" s="11"/>
      <c r="G234" s="106">
        <f>G235</f>
        <v>7309860.2299999995</v>
      </c>
      <c r="H234" s="112"/>
    </row>
    <row r="235" spans="1:9" ht="23.25" customHeight="1">
      <c r="A235" s="45" t="s">
        <v>54</v>
      </c>
      <c r="B235" s="6">
        <v>650</v>
      </c>
      <c r="C235" s="7">
        <v>8</v>
      </c>
      <c r="D235" s="7">
        <v>1</v>
      </c>
      <c r="E235" s="87" t="s">
        <v>183</v>
      </c>
      <c r="F235" s="6">
        <v>110</v>
      </c>
      <c r="G235" s="110">
        <f>G236+G237</f>
        <v>7309860.2299999995</v>
      </c>
      <c r="H235" s="109"/>
      <c r="I235" s="124"/>
    </row>
    <row r="236" spans="1:9" ht="19.5" customHeight="1">
      <c r="A236" s="45" t="s">
        <v>106</v>
      </c>
      <c r="B236" s="6">
        <v>650</v>
      </c>
      <c r="C236" s="7">
        <v>8</v>
      </c>
      <c r="D236" s="7">
        <v>1</v>
      </c>
      <c r="E236" s="87" t="s">
        <v>183</v>
      </c>
      <c r="F236" s="6">
        <v>111</v>
      </c>
      <c r="G236" s="110">
        <f>3398800+1497549.21+0.02+489631.34+228380</f>
        <v>5614360.5699999994</v>
      </c>
      <c r="H236" s="109"/>
    </row>
    <row r="237" spans="1:9" ht="38.25" customHeight="1">
      <c r="A237" s="45" t="s">
        <v>71</v>
      </c>
      <c r="B237" s="6">
        <v>650</v>
      </c>
      <c r="C237" s="7">
        <v>8</v>
      </c>
      <c r="D237" s="7">
        <v>1</v>
      </c>
      <c r="E237" s="87" t="s">
        <v>183</v>
      </c>
      <c r="F237" s="6">
        <v>119</v>
      </c>
      <c r="G237" s="110">
        <f>1026400+452259.87+147868.66+68971.13</f>
        <v>1695499.6600000001</v>
      </c>
      <c r="H237" s="109"/>
    </row>
    <row r="238" spans="1:9" ht="28.5" customHeight="1">
      <c r="A238" s="137" t="s">
        <v>156</v>
      </c>
      <c r="B238" s="138">
        <v>650</v>
      </c>
      <c r="C238" s="139">
        <v>8</v>
      </c>
      <c r="D238" s="139">
        <v>1</v>
      </c>
      <c r="E238" s="140" t="s">
        <v>184</v>
      </c>
      <c r="F238" s="138"/>
      <c r="G238" s="141">
        <f>G239</f>
        <v>73836.97</v>
      </c>
      <c r="H238" s="142"/>
    </row>
    <row r="239" spans="1:9" ht="18.75" customHeight="1">
      <c r="A239" s="45" t="s">
        <v>54</v>
      </c>
      <c r="B239" s="6">
        <v>650</v>
      </c>
      <c r="C239" s="7">
        <v>8</v>
      </c>
      <c r="D239" s="7">
        <v>1</v>
      </c>
      <c r="E239" s="87" t="s">
        <v>184</v>
      </c>
      <c r="F239" s="6">
        <v>110</v>
      </c>
      <c r="G239" s="110">
        <f>G240+G241</f>
        <v>73836.97</v>
      </c>
      <c r="H239" s="109"/>
      <c r="I239" s="124"/>
    </row>
    <row r="240" spans="1:9" ht="14.25" customHeight="1">
      <c r="A240" s="45" t="s">
        <v>106</v>
      </c>
      <c r="B240" s="6">
        <v>650</v>
      </c>
      <c r="C240" s="7">
        <v>8</v>
      </c>
      <c r="D240" s="7">
        <v>1</v>
      </c>
      <c r="E240" s="87" t="s">
        <v>184</v>
      </c>
      <c r="F240" s="6">
        <v>111</v>
      </c>
      <c r="G240" s="110">
        <f>377640+166393.51-487323.09</f>
        <v>56710.419999999984</v>
      </c>
      <c r="H240" s="109"/>
    </row>
    <row r="241" spans="1:9" ht="42" customHeight="1">
      <c r="A241" s="45" t="s">
        <v>71</v>
      </c>
      <c r="B241" s="6">
        <v>650</v>
      </c>
      <c r="C241" s="7">
        <v>8</v>
      </c>
      <c r="D241" s="7">
        <v>1</v>
      </c>
      <c r="E241" s="87" t="s">
        <v>184</v>
      </c>
      <c r="F241" s="6">
        <v>119</v>
      </c>
      <c r="G241" s="110">
        <f>114050+50250.83-147174.28</f>
        <v>17126.550000000017</v>
      </c>
      <c r="H241" s="109"/>
    </row>
    <row r="242" spans="1:9" ht="13.5" customHeight="1">
      <c r="A242" s="46" t="s">
        <v>28</v>
      </c>
      <c r="B242" s="11">
        <v>650</v>
      </c>
      <c r="C242" s="12">
        <v>10</v>
      </c>
      <c r="D242" s="52">
        <v>0</v>
      </c>
      <c r="E242" s="87"/>
      <c r="F242" s="6"/>
      <c r="G242" s="106">
        <f t="shared" ref="G242:G248" si="2">G243</f>
        <v>360000</v>
      </c>
      <c r="H242" s="109"/>
    </row>
    <row r="243" spans="1:9" s="49" customFormat="1" ht="13.5" customHeight="1">
      <c r="A243" s="46" t="s">
        <v>29</v>
      </c>
      <c r="B243" s="11">
        <v>650</v>
      </c>
      <c r="C243" s="12">
        <v>10</v>
      </c>
      <c r="D243" s="52">
        <v>1</v>
      </c>
      <c r="E243" s="86"/>
      <c r="F243" s="11"/>
      <c r="G243" s="106">
        <f t="shared" si="2"/>
        <v>360000</v>
      </c>
      <c r="H243" s="112"/>
    </row>
    <row r="244" spans="1:9" ht="39" customHeight="1">
      <c r="A244" s="61" t="s">
        <v>138</v>
      </c>
      <c r="B244" s="58">
        <v>650</v>
      </c>
      <c r="C244" s="59">
        <v>10</v>
      </c>
      <c r="D244" s="60">
        <v>1</v>
      </c>
      <c r="E244" s="89" t="s">
        <v>60</v>
      </c>
      <c r="F244" s="58"/>
      <c r="G244" s="113">
        <f t="shared" si="2"/>
        <v>360000</v>
      </c>
      <c r="H244" s="109"/>
      <c r="I244" s="124"/>
    </row>
    <row r="245" spans="1:9" ht="27.75" customHeight="1">
      <c r="A245" s="61" t="s">
        <v>149</v>
      </c>
      <c r="B245" s="58">
        <v>650</v>
      </c>
      <c r="C245" s="59">
        <v>10</v>
      </c>
      <c r="D245" s="60">
        <v>1</v>
      </c>
      <c r="E245" s="89" t="s">
        <v>178</v>
      </c>
      <c r="F245" s="58"/>
      <c r="G245" s="113">
        <f t="shared" si="2"/>
        <v>360000</v>
      </c>
      <c r="H245" s="109"/>
    </row>
    <row r="246" spans="1:9" ht="37.5" customHeight="1">
      <c r="A246" s="45" t="s">
        <v>137</v>
      </c>
      <c r="B246" s="6">
        <v>650</v>
      </c>
      <c r="C246" s="7">
        <v>10</v>
      </c>
      <c r="D246" s="8">
        <v>1</v>
      </c>
      <c r="E246" s="87" t="s">
        <v>177</v>
      </c>
      <c r="F246" s="6"/>
      <c r="G246" s="110">
        <f t="shared" si="2"/>
        <v>360000</v>
      </c>
      <c r="H246" s="109"/>
    </row>
    <row r="247" spans="1:9" ht="16.5" customHeight="1">
      <c r="A247" s="45" t="s">
        <v>55</v>
      </c>
      <c r="B247" s="6">
        <v>650</v>
      </c>
      <c r="C247" s="7">
        <v>10</v>
      </c>
      <c r="D247" s="8">
        <v>1</v>
      </c>
      <c r="E247" s="87" t="s">
        <v>177</v>
      </c>
      <c r="F247" s="6">
        <v>300</v>
      </c>
      <c r="G247" s="110">
        <f t="shared" si="2"/>
        <v>360000</v>
      </c>
      <c r="H247" s="109"/>
    </row>
    <row r="248" spans="1:9" ht="31.5" customHeight="1">
      <c r="A248" s="45" t="s">
        <v>56</v>
      </c>
      <c r="B248" s="6">
        <v>650</v>
      </c>
      <c r="C248" s="7">
        <v>10</v>
      </c>
      <c r="D248" s="8">
        <v>1</v>
      </c>
      <c r="E248" s="87" t="s">
        <v>177</v>
      </c>
      <c r="F248" s="6">
        <v>320</v>
      </c>
      <c r="G248" s="110">
        <f t="shared" si="2"/>
        <v>360000</v>
      </c>
      <c r="H248" s="109"/>
    </row>
    <row r="249" spans="1:9" ht="38.25" customHeight="1">
      <c r="A249" s="45" t="s">
        <v>51</v>
      </c>
      <c r="B249" s="6">
        <v>650</v>
      </c>
      <c r="C249" s="7">
        <v>10</v>
      </c>
      <c r="D249" s="8">
        <v>1</v>
      </c>
      <c r="E249" s="87" t="s">
        <v>177</v>
      </c>
      <c r="F249" s="6">
        <v>321</v>
      </c>
      <c r="G249" s="110">
        <v>360000</v>
      </c>
      <c r="H249" s="109"/>
    </row>
    <row r="250" spans="1:9" ht="14.25" customHeight="1">
      <c r="A250" s="46" t="s">
        <v>30</v>
      </c>
      <c r="B250" s="11">
        <v>650</v>
      </c>
      <c r="C250" s="12">
        <v>12</v>
      </c>
      <c r="D250" s="12">
        <v>0</v>
      </c>
      <c r="E250" s="86"/>
      <c r="F250" s="11"/>
      <c r="G250" s="106">
        <f>G251</f>
        <v>28000</v>
      </c>
      <c r="H250" s="112"/>
      <c r="I250" s="124"/>
    </row>
    <row r="251" spans="1:9" ht="15.75" customHeight="1">
      <c r="A251" s="45" t="s">
        <v>31</v>
      </c>
      <c r="B251" s="6">
        <v>650</v>
      </c>
      <c r="C251" s="7">
        <v>12</v>
      </c>
      <c r="D251" s="7">
        <v>4</v>
      </c>
      <c r="E251" s="87"/>
      <c r="F251" s="6"/>
      <c r="G251" s="110">
        <f>G252</f>
        <v>28000</v>
      </c>
      <c r="H251" s="109"/>
    </row>
    <row r="252" spans="1:9" ht="40.5" customHeight="1">
      <c r="A252" s="61" t="s">
        <v>138</v>
      </c>
      <c r="B252" s="58">
        <v>650</v>
      </c>
      <c r="C252" s="7">
        <v>12</v>
      </c>
      <c r="D252" s="7">
        <v>4</v>
      </c>
      <c r="E252" s="89" t="s">
        <v>60</v>
      </c>
      <c r="F252" s="58"/>
      <c r="G252" s="110">
        <f>G253</f>
        <v>28000</v>
      </c>
      <c r="H252" s="109"/>
    </row>
    <row r="253" spans="1:9" ht="24" customHeight="1">
      <c r="A253" s="61" t="s">
        <v>143</v>
      </c>
      <c r="B253" s="58">
        <v>650</v>
      </c>
      <c r="C253" s="7">
        <v>12</v>
      </c>
      <c r="D253" s="7">
        <v>4</v>
      </c>
      <c r="E253" s="89" t="s">
        <v>175</v>
      </c>
      <c r="F253" s="58"/>
      <c r="G253" s="110">
        <f>G256</f>
        <v>28000</v>
      </c>
      <c r="H253" s="120"/>
    </row>
    <row r="254" spans="1:9" ht="24" customHeight="1">
      <c r="A254" s="45" t="s">
        <v>72</v>
      </c>
      <c r="B254" s="6">
        <v>650</v>
      </c>
      <c r="C254" s="7">
        <v>12</v>
      </c>
      <c r="D254" s="7">
        <v>4</v>
      </c>
      <c r="E254" s="87" t="s">
        <v>176</v>
      </c>
      <c r="F254" s="6">
        <v>200</v>
      </c>
      <c r="G254" s="110">
        <f>G255</f>
        <v>28000</v>
      </c>
      <c r="H254" s="120"/>
    </row>
    <row r="255" spans="1:9" ht="24" customHeight="1">
      <c r="A255" s="45" t="s">
        <v>53</v>
      </c>
      <c r="B255" s="6">
        <v>650</v>
      </c>
      <c r="C255" s="7">
        <v>12</v>
      </c>
      <c r="D255" s="7">
        <v>4</v>
      </c>
      <c r="E255" s="87" t="s">
        <v>176</v>
      </c>
      <c r="F255" s="6">
        <v>240</v>
      </c>
      <c r="G255" s="110">
        <f>G256</f>
        <v>28000</v>
      </c>
      <c r="H255" s="120"/>
    </row>
    <row r="256" spans="1:9" ht="31.5" customHeight="1">
      <c r="A256" s="72" t="s">
        <v>47</v>
      </c>
      <c r="B256" s="6">
        <v>650</v>
      </c>
      <c r="C256" s="7">
        <v>12</v>
      </c>
      <c r="D256" s="7">
        <v>4</v>
      </c>
      <c r="E256" s="87" t="s">
        <v>176</v>
      </c>
      <c r="F256" s="6">
        <v>244</v>
      </c>
      <c r="G256" s="110">
        <f>5000+23000</f>
        <v>28000</v>
      </c>
      <c r="H256" s="120"/>
    </row>
    <row r="257" spans="1:8" s="66" customFormat="1" ht="24" customHeight="1">
      <c r="A257" s="63"/>
      <c r="B257" s="64"/>
      <c r="C257" s="65"/>
      <c r="D257" s="64"/>
      <c r="E257" s="91"/>
      <c r="F257" s="64"/>
      <c r="G257" s="121"/>
      <c r="H257" s="121"/>
    </row>
    <row r="258" spans="1:8" s="71" customFormat="1" ht="17.25" customHeight="1">
      <c r="A258" s="67"/>
      <c r="B258" s="68"/>
      <c r="C258" s="69"/>
      <c r="D258" s="70"/>
      <c r="E258" s="92"/>
      <c r="F258" s="68"/>
      <c r="G258" s="122"/>
      <c r="H258" s="122"/>
    </row>
    <row r="259" spans="1:8" s="71" customFormat="1" ht="14.25" customHeight="1">
      <c r="A259" s="67"/>
      <c r="B259" s="68"/>
      <c r="C259" s="69"/>
      <c r="D259" s="70"/>
      <c r="E259" s="92"/>
      <c r="F259" s="68"/>
      <c r="G259" s="122"/>
      <c r="H259" s="122"/>
    </row>
    <row r="260" spans="1:8" s="71" customFormat="1">
      <c r="A260" s="67"/>
      <c r="B260" s="68"/>
      <c r="C260" s="69"/>
      <c r="D260" s="70"/>
      <c r="E260" s="92"/>
      <c r="F260" s="68"/>
      <c r="G260" s="122"/>
      <c r="H260" s="122"/>
    </row>
    <row r="261" spans="1:8">
      <c r="G261" s="123"/>
      <c r="H261" s="124"/>
    </row>
    <row r="262" spans="1:8">
      <c r="G262" s="123"/>
      <c r="H262" s="124"/>
    </row>
    <row r="263" spans="1:8">
      <c r="G263" s="123"/>
      <c r="H263" s="124"/>
    </row>
    <row r="264" spans="1:8">
      <c r="G264" s="123"/>
      <c r="H264" s="124"/>
    </row>
    <row r="265" spans="1:8">
      <c r="G265" s="123"/>
      <c r="H265" s="124"/>
    </row>
    <row r="266" spans="1:8">
      <c r="G266" s="123"/>
      <c r="H266" s="124"/>
    </row>
    <row r="267" spans="1:8">
      <c r="G267" s="123"/>
      <c r="H267" s="124"/>
    </row>
    <row r="268" spans="1:8">
      <c r="G268" s="123"/>
      <c r="H268" s="123"/>
    </row>
    <row r="269" spans="1:8">
      <c r="G269" s="123"/>
      <c r="H269" s="124"/>
    </row>
    <row r="270" spans="1:8">
      <c r="G270" s="123"/>
      <c r="H270" s="123"/>
    </row>
    <row r="271" spans="1:8">
      <c r="G271" s="123"/>
      <c r="H271" s="124"/>
    </row>
    <row r="272" spans="1:8">
      <c r="G272" s="123"/>
      <c r="H272" s="124"/>
    </row>
    <row r="273" spans="7:8">
      <c r="G273" s="123"/>
      <c r="H273" s="124"/>
    </row>
    <row r="274" spans="7:8">
      <c r="G274" s="123"/>
      <c r="H274" s="124"/>
    </row>
    <row r="275" spans="7:8">
      <c r="G275" s="123"/>
      <c r="H275" s="124"/>
    </row>
    <row r="276" spans="7:8">
      <c r="G276" s="123"/>
      <c r="H276" s="124"/>
    </row>
    <row r="277" spans="7:8">
      <c r="G277" s="123"/>
      <c r="H277" s="124"/>
    </row>
    <row r="278" spans="7:8">
      <c r="G278" s="123"/>
      <c r="H278" s="124"/>
    </row>
    <row r="279" spans="7:8">
      <c r="G279" s="123"/>
      <c r="H279" s="124"/>
    </row>
    <row r="280" spans="7:8">
      <c r="G280" s="123"/>
      <c r="H280" s="124"/>
    </row>
    <row r="281" spans="7:8">
      <c r="G281" s="123"/>
      <c r="H281" s="124"/>
    </row>
    <row r="282" spans="7:8">
      <c r="G282" s="123"/>
      <c r="H282" s="124"/>
    </row>
    <row r="283" spans="7:8">
      <c r="G283" s="123"/>
      <c r="H283" s="124"/>
    </row>
    <row r="284" spans="7:8">
      <c r="G284" s="123"/>
      <c r="H284" s="124"/>
    </row>
    <row r="285" spans="7:8">
      <c r="G285" s="123"/>
      <c r="H285" s="124"/>
    </row>
    <row r="286" spans="7:8">
      <c r="G286" s="123"/>
      <c r="H286" s="124"/>
    </row>
    <row r="287" spans="7:8">
      <c r="G287" s="123"/>
      <c r="H287" s="124"/>
    </row>
    <row r="288" spans="7:8">
      <c r="G288" s="123"/>
      <c r="H288" s="124"/>
    </row>
    <row r="289" spans="7:8">
      <c r="G289" s="123"/>
      <c r="H289" s="124"/>
    </row>
    <row r="290" spans="7:8">
      <c r="G290" s="123"/>
      <c r="H290" s="124"/>
    </row>
    <row r="291" spans="7:8">
      <c r="G291" s="123"/>
      <c r="H291" s="124"/>
    </row>
    <row r="292" spans="7:8">
      <c r="G292" s="123"/>
      <c r="H292" s="124"/>
    </row>
    <row r="293" spans="7:8">
      <c r="G293" s="123"/>
      <c r="H293" s="124"/>
    </row>
    <row r="294" spans="7:8">
      <c r="G294" s="123"/>
      <c r="H294" s="124"/>
    </row>
    <row r="295" spans="7:8">
      <c r="G295" s="123"/>
      <c r="H295" s="124"/>
    </row>
    <row r="296" spans="7:8">
      <c r="G296" s="123"/>
      <c r="H296" s="124"/>
    </row>
    <row r="297" spans="7:8">
      <c r="G297" s="123"/>
      <c r="H297" s="124"/>
    </row>
    <row r="298" spans="7:8">
      <c r="G298" s="123"/>
      <c r="H298" s="124"/>
    </row>
    <row r="299" spans="7:8">
      <c r="G299" s="123"/>
      <c r="H299" s="124"/>
    </row>
    <row r="300" spans="7:8">
      <c r="G300" s="123"/>
      <c r="H300" s="124"/>
    </row>
    <row r="301" spans="7:8">
      <c r="G301" s="123"/>
      <c r="H301" s="124"/>
    </row>
    <row r="302" spans="7:8">
      <c r="G302" s="123"/>
      <c r="H302" s="124"/>
    </row>
    <row r="303" spans="7:8">
      <c r="G303" s="123"/>
      <c r="H303" s="124"/>
    </row>
    <row r="304" spans="7:8">
      <c r="G304" s="123"/>
      <c r="H304" s="124"/>
    </row>
    <row r="305" spans="7:8">
      <c r="G305" s="123"/>
      <c r="H305" s="124"/>
    </row>
    <row r="306" spans="7:8">
      <c r="G306" s="123"/>
      <c r="H306" s="124"/>
    </row>
    <row r="307" spans="7:8">
      <c r="G307" s="123"/>
      <c r="H307" s="124"/>
    </row>
    <row r="308" spans="7:8">
      <c r="G308" s="123"/>
      <c r="H308" s="124"/>
    </row>
    <row r="309" spans="7:8">
      <c r="G309" s="123"/>
      <c r="H309" s="124"/>
    </row>
    <row r="310" spans="7:8">
      <c r="G310" s="123"/>
      <c r="H310" s="124"/>
    </row>
    <row r="311" spans="7:8">
      <c r="G311" s="123"/>
      <c r="H311" s="124"/>
    </row>
    <row r="312" spans="7:8">
      <c r="G312" s="123"/>
      <c r="H312" s="124"/>
    </row>
    <row r="313" spans="7:8">
      <c r="G313" s="123"/>
      <c r="H313" s="124"/>
    </row>
    <row r="314" spans="7:8">
      <c r="G314" s="123"/>
      <c r="H314" s="124"/>
    </row>
    <row r="315" spans="7:8">
      <c r="G315" s="123"/>
      <c r="H315" s="124"/>
    </row>
    <row r="316" spans="7:8">
      <c r="G316" s="123"/>
      <c r="H316" s="124"/>
    </row>
    <row r="317" spans="7:8">
      <c r="G317" s="123"/>
      <c r="H317" s="124"/>
    </row>
    <row r="318" spans="7:8">
      <c r="G318" s="123"/>
      <c r="H318" s="124"/>
    </row>
    <row r="319" spans="7:8">
      <c r="G319" s="123"/>
      <c r="H319" s="124"/>
    </row>
    <row r="320" spans="7:8">
      <c r="G320" s="123"/>
      <c r="H320" s="124"/>
    </row>
    <row r="321" spans="7:8">
      <c r="G321" s="123"/>
      <c r="H321" s="124"/>
    </row>
    <row r="322" spans="7:8">
      <c r="G322" s="123"/>
      <c r="H322" s="124"/>
    </row>
    <row r="323" spans="7:8">
      <c r="G323" s="123"/>
      <c r="H323" s="124"/>
    </row>
    <row r="324" spans="7:8">
      <c r="G324" s="123"/>
      <c r="H324" s="124"/>
    </row>
    <row r="325" spans="7:8">
      <c r="G325" s="123"/>
      <c r="H325" s="124"/>
    </row>
    <row r="326" spans="7:8">
      <c r="G326" s="123"/>
      <c r="H326" s="124"/>
    </row>
    <row r="327" spans="7:8">
      <c r="G327" s="123"/>
      <c r="H327" s="124"/>
    </row>
    <row r="328" spans="7:8">
      <c r="G328" s="123"/>
      <c r="H328" s="124"/>
    </row>
    <row r="329" spans="7:8">
      <c r="G329" s="123"/>
      <c r="H329" s="124"/>
    </row>
    <row r="330" spans="7:8">
      <c r="G330" s="123"/>
      <c r="H330" s="124"/>
    </row>
    <row r="331" spans="7:8">
      <c r="G331" s="123"/>
      <c r="H331" s="124"/>
    </row>
    <row r="332" spans="7:8">
      <c r="G332" s="123"/>
      <c r="H332" s="124"/>
    </row>
    <row r="333" spans="7:8">
      <c r="G333" s="123"/>
      <c r="H333" s="124"/>
    </row>
    <row r="334" spans="7:8">
      <c r="G334" s="123"/>
      <c r="H334" s="124"/>
    </row>
    <row r="335" spans="7:8">
      <c r="G335" s="123"/>
      <c r="H335" s="124"/>
    </row>
    <row r="336" spans="7:8">
      <c r="G336" s="123"/>
      <c r="H336" s="124"/>
    </row>
    <row r="337" spans="7:8">
      <c r="G337" s="123"/>
      <c r="H337" s="124"/>
    </row>
    <row r="338" spans="7:8">
      <c r="G338" s="25"/>
      <c r="H338" s="10"/>
    </row>
    <row r="339" spans="7:8">
      <c r="G339" s="25"/>
      <c r="H339" s="10"/>
    </row>
    <row r="340" spans="7:8">
      <c r="G340" s="25"/>
      <c r="H340" s="10"/>
    </row>
    <row r="341" spans="7:8">
      <c r="G341" s="25"/>
      <c r="H341" s="10"/>
    </row>
    <row r="342" spans="7:8">
      <c r="G342" s="25"/>
      <c r="H342" s="10"/>
    </row>
    <row r="343" spans="7:8">
      <c r="G343" s="25"/>
      <c r="H343" s="10"/>
    </row>
    <row r="344" spans="7:8">
      <c r="G344" s="25"/>
      <c r="H344" s="10"/>
    </row>
    <row r="345" spans="7:8">
      <c r="G345" s="25"/>
      <c r="H345" s="10"/>
    </row>
    <row r="346" spans="7:8">
      <c r="G346" s="25"/>
      <c r="H346" s="10"/>
    </row>
    <row r="347" spans="7:8">
      <c r="G347" s="25"/>
      <c r="H347" s="10"/>
    </row>
    <row r="348" spans="7:8">
      <c r="G348" s="25"/>
      <c r="H348" s="10"/>
    </row>
    <row r="349" spans="7:8">
      <c r="G349" s="25"/>
      <c r="H349" s="10"/>
    </row>
    <row r="350" spans="7:8">
      <c r="G350" s="25"/>
      <c r="H350" s="10"/>
    </row>
    <row r="351" spans="7:8">
      <c r="G351" s="25"/>
      <c r="H351" s="10"/>
    </row>
    <row r="352" spans="7:8">
      <c r="G352" s="25"/>
      <c r="H352" s="10"/>
    </row>
    <row r="353" spans="7:8">
      <c r="G353" s="25"/>
      <c r="H353" s="10"/>
    </row>
    <row r="354" spans="7:8">
      <c r="G354" s="25"/>
      <c r="H354" s="10"/>
    </row>
    <row r="355" spans="7:8">
      <c r="G355" s="25"/>
      <c r="H355" s="10"/>
    </row>
    <row r="356" spans="7:8">
      <c r="G356" s="25"/>
      <c r="H356" s="10"/>
    </row>
    <row r="357" spans="7:8">
      <c r="G357" s="25"/>
      <c r="H357" s="10"/>
    </row>
    <row r="358" spans="7:8">
      <c r="G358" s="25"/>
      <c r="H358" s="10"/>
    </row>
    <row r="359" spans="7:8">
      <c r="G359" s="25"/>
      <c r="H359" s="10"/>
    </row>
    <row r="360" spans="7:8">
      <c r="G360" s="25"/>
      <c r="H360" s="10"/>
    </row>
    <row r="361" spans="7:8">
      <c r="G361" s="25"/>
      <c r="H361" s="10"/>
    </row>
    <row r="362" spans="7:8">
      <c r="G362" s="25"/>
      <c r="H362" s="10"/>
    </row>
    <row r="363" spans="7:8">
      <c r="G363" s="25"/>
      <c r="H363" s="10"/>
    </row>
    <row r="364" spans="7:8">
      <c r="G364" s="25"/>
      <c r="H364" s="10"/>
    </row>
    <row r="365" spans="7:8">
      <c r="G365" s="25"/>
      <c r="H365" s="10"/>
    </row>
    <row r="366" spans="7:8">
      <c r="G366" s="25"/>
      <c r="H366" s="10"/>
    </row>
    <row r="367" spans="7:8">
      <c r="G367" s="25"/>
      <c r="H367" s="10"/>
    </row>
    <row r="368" spans="7:8">
      <c r="G368" s="25"/>
      <c r="H368" s="10"/>
    </row>
    <row r="369" spans="7:8">
      <c r="G369" s="25"/>
      <c r="H369" s="10"/>
    </row>
    <row r="370" spans="7:8">
      <c r="G370" s="25"/>
      <c r="H370" s="10"/>
    </row>
    <row r="371" spans="7:8">
      <c r="G371" s="25"/>
      <c r="H371" s="10"/>
    </row>
    <row r="372" spans="7:8">
      <c r="G372" s="25"/>
      <c r="H372" s="10"/>
    </row>
    <row r="373" spans="7:8">
      <c r="G373" s="25"/>
      <c r="H373" s="10"/>
    </row>
    <row r="374" spans="7:8">
      <c r="G374" s="25"/>
      <c r="H374" s="10"/>
    </row>
    <row r="375" spans="7:8">
      <c r="G375" s="25"/>
      <c r="H375" s="10"/>
    </row>
    <row r="376" spans="7:8">
      <c r="G376" s="25"/>
      <c r="H376" s="10"/>
    </row>
    <row r="377" spans="7:8">
      <c r="G377" s="25"/>
      <c r="H377" s="10"/>
    </row>
    <row r="378" spans="7:8">
      <c r="G378" s="25"/>
      <c r="H378" s="10"/>
    </row>
    <row r="379" spans="7:8">
      <c r="G379" s="25"/>
      <c r="H379" s="10"/>
    </row>
    <row r="380" spans="7:8">
      <c r="G380" s="25"/>
      <c r="H380" s="10"/>
    </row>
    <row r="381" spans="7:8">
      <c r="G381" s="25"/>
      <c r="H381" s="10"/>
    </row>
    <row r="382" spans="7:8">
      <c r="G382" s="25"/>
      <c r="H382" s="10"/>
    </row>
    <row r="383" spans="7:8">
      <c r="G383" s="25"/>
      <c r="H383" s="10"/>
    </row>
    <row r="384" spans="7:8">
      <c r="G384" s="25"/>
      <c r="H384" s="10"/>
    </row>
    <row r="385" spans="7:8">
      <c r="G385" s="25"/>
      <c r="H385" s="10"/>
    </row>
  </sheetData>
  <customSheetViews>
    <customSheetView guid="{1D456867-ECB1-4D8E-874D-17CC7019B8E5}" fitToPage="1">
      <selection activeCell="A5" sqref="A5:H5"/>
      <pageMargins left="0.19685039370078741" right="0.19685039370078741" top="0" bottom="7.874015748031496E-2" header="0.11811023622047245" footer="0.11811023622047245"/>
      <pageSetup paperSize="9" scale="69" firstPageNumber="82" fitToHeight="6" orientation="portrait" r:id="rId1"/>
      <headerFooter alignWithMargins="0"/>
    </customSheetView>
    <customSheetView guid="{92CDF3B4-C714-4C4F-B6E7-8E2145A85B5B}" fitToPage="1" topLeftCell="A28">
      <selection activeCell="A36" sqref="A36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2"/>
      <headerFooter alignWithMargins="0"/>
    </customSheetView>
    <customSheetView guid="{D0D32967-A2A4-4D09-946D-9F01A9BC030D}" fitToPage="1" topLeftCell="A28">
      <selection activeCell="F4" sqref="F4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3"/>
      <headerFooter alignWithMargins="0"/>
    </customSheetView>
    <customSheetView guid="{1907A0D4-1A04-46C7-BA13-828BC6B0DA3F}">
      <selection activeCell="N21" sqref="N21"/>
      <pageMargins left="0.19685039370078741" right="0.19685039370078741" top="0" bottom="7.874015748031496E-2" header="0.11811023622047245" footer="0.11811023622047245"/>
      <pageSetup paperSize="9" firstPageNumber="82" fitToHeight="0" orientation="landscape" r:id="rId4"/>
      <headerFooter alignWithMargins="0"/>
    </customSheetView>
    <customSheetView guid="{37E59057-FA9A-4499-A67F-A3B4FE9F3836}" topLeftCell="A22">
      <selection activeCell="B29" sqref="B29:E29"/>
      <pageMargins left="0.19685039370078741" right="0.19685039370078741" top="0" bottom="7.874015748031496E-2" header="0.11811023622047245" footer="0.11811023622047245"/>
      <pageSetup paperSize="9" firstPageNumber="82" fitToHeight="0" orientation="portrait" r:id="rId5"/>
      <headerFooter alignWithMargins="0"/>
    </customSheetView>
    <customSheetView guid="{904EEE15-F689-401B-A578-41B4FD2E001F}" showPageBreaks="1" topLeftCell="A233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6"/>
      <headerFooter alignWithMargins="0"/>
    </customSheetView>
    <customSheetView guid="{0ACD4CF0-131D-4AF9-8EA8-EB7D45CA4E62}" showPageBreaks="1" hiddenRows="1" showRuler="0" topLeftCell="A50">
      <selection activeCell="K69" sqref="K69"/>
      <pageMargins left="0.19685039370078741" right="0.19685039370078741" top="0" bottom="7.874015748031496E-2" header="0.11811023622047245" footer="0.11811023622047245"/>
      <pageSetup paperSize="9" firstPageNumber="82" fitToHeight="0" orientation="portrait" r:id="rId7"/>
      <headerFooter alignWithMargins="0"/>
    </customSheetView>
    <customSheetView guid="{CF820AF5-4BA7-438F-997C-2DECDEF7692C}" showPageBreaks="1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8"/>
      <headerFooter alignWithMargins="0"/>
    </customSheetView>
    <customSheetView guid="{29832ADE-E753-4B19-A9AD-744B0F1D561C}" showPageBreaks="1" showRuler="0">
      <selection activeCell="A5" sqref="A5:H5"/>
      <pageMargins left="0.19685039370078741" right="0.19685039370078741" top="0" bottom="7.874015748031496E-2" header="0.11811023622047245" footer="0.11811023622047245"/>
      <pageSetup paperSize="9" firstPageNumber="82" fitToHeight="0" orientation="portrait" r:id="rId9"/>
      <headerFooter alignWithMargins="0"/>
    </customSheetView>
    <customSheetView guid="{C9E7C3F5-D873-4B13-B6C1-5028AF66D368}" showPageBreaks="1" showRuler="0">
      <selection activeCell="G4" sqref="G4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0"/>
      <headerFooter alignWithMargins="0"/>
    </customSheetView>
    <customSheetView guid="{F21A4357-4490-4DC5-AD5F-D74077CDC8A9}" showPageBreaks="1" showRuler="0" topLeftCell="A450">
      <selection activeCell="A465" sqref="A465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1"/>
      <headerFooter alignWithMargins="0"/>
    </customSheetView>
    <customSheetView guid="{4AFE580B-5859-43EA-97A2-5651E4714E35}" showRuler="0">
      <pane ySplit="9.3925233644859816" topLeftCell="A307" activePane="bottomLeft"/>
      <selection pane="bottomLeft" activeCell="H288" sqref="H288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2"/>
      <headerFooter alignWithMargins="0"/>
    </customSheetView>
    <customSheetView guid="{6646D18D-37BA-4A1B-B8A1-44C68A7B234E}" showRuler="0" topLeftCell="A4">
      <pane ySplit="6.8691588785046731" topLeftCell="A490" activePane="bottomLeft"/>
      <selection pane="bottomLeft" activeCell="H501" sqref="H501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3"/>
      <headerFooter alignWithMargins="0"/>
    </customSheetView>
    <customSheetView guid="{F302894A-CF82-456A-A20A-50CE2A9DD3D8}" showRuler="0" topLeftCell="C7">
      <pane ySplit="6.6470588235294121" topLeftCell="A442" activePane="bottomLeft"/>
      <selection pane="bottomLeft" activeCell="C383" sqref="C383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4"/>
      <headerFooter alignWithMargins="0"/>
    </customSheetView>
    <customSheetView guid="{36478EFE-DDFF-4CC3-A0EE-AB3E13284FF8}" showRuler="0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15"/>
      <headerFooter alignWithMargins="0"/>
    </customSheetView>
    <customSheetView guid="{0FBBC42C-2EE2-4818-A608-26471E234100}" showRuler="0" topLeftCell="A37">
      <selection activeCell="G56" sqref="G56"/>
      <pageMargins left="0.19685039370078741" right="0.19685039370078741" top="0" bottom="7.874015748031496E-2" header="0.11811023622047245" footer="0.11811023622047245"/>
      <pageSetup paperSize="9" firstPageNumber="82" fitToHeight="0" orientation="portrait" r:id="rId16"/>
      <headerFooter alignWithMargins="0"/>
    </customSheetView>
    <customSheetView guid="{57844251-B758-4481-8918-10B3DC9EDEC9}">
      <selection activeCell="H102" sqref="H102"/>
      <pageMargins left="0.19685039370078741" right="0.19685039370078741" top="0" bottom="7.874015748031496E-2" header="0.11811023622047245" footer="0.11811023622047245"/>
      <pageSetup paperSize="9" firstPageNumber="82" fitToHeight="0" orientation="portrait" r:id="rId17"/>
      <headerFooter alignWithMargins="0"/>
    </customSheetView>
    <customSheetView guid="{E174612B-43F1-44FB-9D84-33D2477DA935}" showRuler="0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18"/>
      <headerFooter alignWithMargins="0"/>
    </customSheetView>
    <customSheetView guid="{50CBCF93-2CCE-46AB-B05B-EAEB477D4633}" fitToPage="1">
      <selection activeCell="A6" sqref="A6:H6"/>
      <pageMargins left="0.19685039370078741" right="0.19685039370078741" top="0" bottom="7.874015748031496E-2" header="0.11811023622047245" footer="0.11811023622047245"/>
      <pageSetup paperSize="9" scale="81" firstPageNumber="82" fitToHeight="6" orientation="portrait" r:id="rId19"/>
      <headerFooter alignWithMargins="0"/>
    </customSheetView>
    <customSheetView guid="{4F39DA5C-9059-406E-9F89-B6E20F660542}" scale="106" showPageBreaks="1" printArea="1" hiddenRows="1" view="pageBreakPreview" topLeftCell="A55">
      <selection activeCell="N58" sqref="N58"/>
      <pageMargins left="0.45" right="0.19685039370078741" top="0" bottom="7.874015748031496E-2" header="0.11811023622047245" footer="0.11811023622047245"/>
      <pageSetup paperSize="9" scale="85" firstPageNumber="82" fitToWidth="0" fitToHeight="0" orientation="portrait" r:id="rId20"/>
      <headerFooter alignWithMargins="0"/>
    </customSheetView>
  </customSheetViews>
  <mergeCells count="5">
    <mergeCell ref="A5:H5"/>
    <mergeCell ref="A8:H8"/>
    <mergeCell ref="A9:H9"/>
    <mergeCell ref="A6:H6"/>
    <mergeCell ref="A7:H7"/>
  </mergeCells>
  <phoneticPr fontId="0" type="noConversion"/>
  <pageMargins left="0.19685039370078741" right="0.19685039370078741" top="0" bottom="7.874015748031496E-2" header="0.11811023622047245" footer="0.11811023622047245"/>
  <pageSetup paperSize="9" scale="69" firstPageNumber="82" fitToHeight="6" orientation="portrait" r:id="rId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2.75"/>
  <sheetData/>
  <customSheetViews>
    <customSheetView guid="{1D456867-ECB1-4D8E-874D-17CC7019B8E5}" showPageBreaks="1">
      <selection activeCell="J17" sqref="J17"/>
      <pageMargins left="0.7" right="0.7" top="0.75" bottom="0.75" header="0.3" footer="0.3"/>
      <pageSetup paperSize="9" orientation="portrait" verticalDpi="0" r:id="rId1"/>
    </customSheetView>
    <customSheetView guid="{92CDF3B4-C714-4C4F-B6E7-8E2145A85B5B}">
      <selection activeCell="J17" sqref="J17"/>
      <pageMargins left="0.7" right="0.7" top="0.75" bottom="0.75" header="0.3" footer="0.3"/>
    </customSheetView>
    <customSheetView guid="{D0D32967-A2A4-4D09-946D-9F01A9BC030D}">
      <selection activeCell="J17" sqref="J17"/>
      <pageMargins left="0.7" right="0.7" top="0.75" bottom="0.75" header="0.3" footer="0.3"/>
    </customSheetView>
    <customSheetView guid="{1907A0D4-1A04-46C7-BA13-828BC6B0DA3F}">
      <selection activeCell="J17" sqref="J17"/>
      <pageMargins left="0.7" right="0.7" top="0.75" bottom="0.75" header="0.3" footer="0.3"/>
    </customSheetView>
    <customSheetView guid="{37E59057-FA9A-4499-A67F-A3B4FE9F3836}">
      <selection activeCell="J17" sqref="J17"/>
      <pageMargins left="0.7" right="0.7" top="0.75" bottom="0.75" header="0.3" footer="0.3"/>
    </customSheetView>
    <customSheetView guid="{904EEE15-F689-401B-A578-41B4FD2E001F}">
      <selection activeCell="J17" sqref="J17"/>
      <pageMargins left="0.7" right="0.7" top="0.75" bottom="0.75" header="0.3" footer="0.3"/>
    </customSheetView>
    <customSheetView guid="{0ACD4CF0-131D-4AF9-8EA8-EB7D45CA4E62}">
      <selection activeCell="J17" sqref="J17"/>
      <pageMargins left="0.7" right="0.7" top="0.75" bottom="0.75" header="0.3" footer="0.3"/>
    </customSheetView>
    <customSheetView guid="{57844251-B758-4481-8918-10B3DC9EDEC9}">
      <selection activeCell="J17" sqref="J17"/>
      <pageMargins left="0.7" right="0.7" top="0.75" bottom="0.75" header="0.3" footer="0.3"/>
    </customSheetView>
    <customSheetView guid="{E174612B-43F1-44FB-9D84-33D2477DA935}" showRuler="0">
      <selection activeCell="J17" sqref="J17"/>
      <pageMargins left="0.7" right="0.7" top="0.75" bottom="0.75" header="0.3" footer="0.3"/>
      <headerFooter alignWithMargins="0"/>
    </customSheetView>
    <customSheetView guid="{50CBCF93-2CCE-46AB-B05B-EAEB477D4633}">
      <selection activeCell="J17" sqref="J17"/>
      <pageMargins left="0.7" right="0.7" top="0.75" bottom="0.75" header="0.3" footer="0.3"/>
    </customSheetView>
    <customSheetView guid="{4F39DA5C-9059-406E-9F89-B6E20F660542}">
      <selection activeCell="P37" sqref="P28:P37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Функцион2018</vt:lpstr>
      <vt:lpstr>Вед2018</vt:lpstr>
      <vt:lpstr>Лист1</vt:lpstr>
    </vt:vector>
  </TitlesOfParts>
  <Company>Департамент финансов ХМАО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Юрист</cp:lastModifiedBy>
  <cp:lastPrinted>2018-12-28T04:11:47Z</cp:lastPrinted>
  <dcterms:created xsi:type="dcterms:W3CDTF">2007-09-13T08:10:13Z</dcterms:created>
  <dcterms:modified xsi:type="dcterms:W3CDTF">2018-12-28T04:14:20Z</dcterms:modified>
</cp:coreProperties>
</file>