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10" windowWidth="12120" windowHeight="8640" activeTab="4"/>
  </bookViews>
  <sheets>
    <sheet name="прил.1" sheetId="9" r:id="rId1"/>
    <sheet name="прил.2" sheetId="8" r:id="rId2"/>
    <sheet name="прил.3" sheetId="2" r:id="rId3"/>
    <sheet name="прил.4" sheetId="7" r:id="rId4"/>
    <sheet name="прил.5" sheetId="10" r:id="rId5"/>
  </sheets>
  <definedNames>
    <definedName name="_xlnm._FilterDatabase" localSheetId="3" hidden="1">прил.4!$A$9:$I$289</definedName>
    <definedName name="Z_72E271AC_85C0_42E8_ADA1_BE710B500E88_.wvu.PrintArea" localSheetId="2" hidden="1">прил.3!$A$1:$F$42</definedName>
    <definedName name="Z_72E271AC_85C0_42E8_ADA1_BE710B500E88_.wvu.PrintTitles" localSheetId="2" hidden="1">прил.3!$12:$12</definedName>
    <definedName name="Z_72E271AC_85C0_42E8_ADA1_BE710B500E88_.wvu.Rows" localSheetId="2" hidden="1">прил.3!#REF!,прил.3!#REF!,прил.3!$33:$33</definedName>
    <definedName name="_xlnm.Print_Titles" localSheetId="2">прил.3!$12:$12</definedName>
    <definedName name="_xlnm.Print_Area" localSheetId="0">прил.1!$A$1:$E$71</definedName>
    <definedName name="_xlnm.Print_Area" localSheetId="1">прил.2!$A$1:$E$69</definedName>
    <definedName name="_xlnm.Print_Area" localSheetId="2">прил.3!$A$1:$F$42</definedName>
    <definedName name="_xlnm.Print_Area" localSheetId="3">прил.4!$A$1:$I$289</definedName>
    <definedName name="_xlnm.Print_Area" localSheetId="4">прил.5!$A$1:$E$21</definedName>
  </definedNames>
  <calcPr calcId="124519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H94" i="7"/>
  <c r="H184"/>
  <c r="H185"/>
  <c r="H186"/>
  <c r="H187"/>
  <c r="H188"/>
  <c r="H189"/>
  <c r="H190"/>
  <c r="H191"/>
  <c r="H167"/>
  <c r="H168"/>
  <c r="H169"/>
  <c r="H170"/>
  <c r="H171"/>
  <c r="H172"/>
  <c r="H173"/>
  <c r="H174"/>
  <c r="H175"/>
  <c r="H176"/>
  <c r="H177"/>
  <c r="H178"/>
  <c r="H179"/>
  <c r="H180"/>
  <c r="H166"/>
  <c r="H157"/>
  <c r="H158"/>
  <c r="H159"/>
  <c r="H160"/>
  <c r="H161"/>
  <c r="H148"/>
  <c r="H149"/>
  <c r="H150"/>
  <c r="H151"/>
  <c r="H152"/>
  <c r="H153"/>
  <c r="H154"/>
  <c r="H132"/>
  <c r="H133"/>
  <c r="H134"/>
  <c r="H135"/>
  <c r="H136"/>
  <c r="H137"/>
  <c r="H138"/>
  <c r="H139"/>
  <c r="H140"/>
  <c r="H141"/>
  <c r="H142"/>
  <c r="H143"/>
  <c r="H144"/>
  <c r="H145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99"/>
  <c r="H289" s="1"/>
  <c r="H100"/>
  <c r="H101"/>
  <c r="H102"/>
  <c r="H103"/>
  <c r="H104"/>
  <c r="H105"/>
  <c r="H106"/>
  <c r="H107"/>
  <c r="H108"/>
  <c r="H109"/>
  <c r="H110"/>
  <c r="H96"/>
  <c r="H97"/>
  <c r="I97" s="1"/>
  <c r="H98"/>
  <c r="H88"/>
  <c r="H89"/>
  <c r="I89" s="1"/>
  <c r="H90"/>
  <c r="H83"/>
  <c r="H79" s="1"/>
  <c r="H84"/>
  <c r="H85"/>
  <c r="H67"/>
  <c r="H68"/>
  <c r="H69"/>
  <c r="H70"/>
  <c r="H71"/>
  <c r="H72"/>
  <c r="H73"/>
  <c r="H74"/>
  <c r="H75"/>
  <c r="H76"/>
  <c r="H77"/>
  <c r="H57"/>
  <c r="H56" s="1"/>
  <c r="H60"/>
  <c r="I60" s="1"/>
  <c r="H61"/>
  <c r="H62"/>
  <c r="H63"/>
  <c r="H64"/>
  <c r="H65"/>
  <c r="H49"/>
  <c r="H50"/>
  <c r="H51"/>
  <c r="H52"/>
  <c r="H53"/>
  <c r="H41"/>
  <c r="H42"/>
  <c r="H43"/>
  <c r="H44"/>
  <c r="H32"/>
  <c r="H33"/>
  <c r="H34"/>
  <c r="H35"/>
  <c r="H36"/>
  <c r="H37"/>
  <c r="H20"/>
  <c r="H21"/>
  <c r="H22"/>
  <c r="H23"/>
  <c r="H24"/>
  <c r="I24" s="1"/>
  <c r="H25"/>
  <c r="H26"/>
  <c r="H27"/>
  <c r="H28"/>
  <c r="H29"/>
  <c r="H30"/>
  <c r="H31"/>
  <c r="H12"/>
  <c r="H13"/>
  <c r="H14"/>
  <c r="H15"/>
  <c r="H16"/>
  <c r="H17"/>
  <c r="I17" s="1"/>
  <c r="H18"/>
  <c r="H19"/>
  <c r="H198"/>
  <c r="H199"/>
  <c r="H200"/>
  <c r="H201"/>
  <c r="H202"/>
  <c r="H203"/>
  <c r="H204"/>
  <c r="H206"/>
  <c r="H207"/>
  <c r="H208"/>
  <c r="H209"/>
  <c r="H210"/>
  <c r="H211"/>
  <c r="H212"/>
  <c r="I212" s="1"/>
  <c r="H213"/>
  <c r="I213" s="1"/>
  <c r="H214"/>
  <c r="H215"/>
  <c r="H216"/>
  <c r="H217"/>
  <c r="H218"/>
  <c r="H219"/>
  <c r="H220"/>
  <c r="H221"/>
  <c r="I221" s="1"/>
  <c r="H222"/>
  <c r="H223"/>
  <c r="H224"/>
  <c r="H225"/>
  <c r="H226"/>
  <c r="H227"/>
  <c r="H228"/>
  <c r="H229"/>
  <c r="H230"/>
  <c r="H231"/>
  <c r="H233"/>
  <c r="H234"/>
  <c r="H235"/>
  <c r="I235" s="1"/>
  <c r="H236"/>
  <c r="H237"/>
  <c r="H238"/>
  <c r="H239"/>
  <c r="I239" s="1"/>
  <c r="H240"/>
  <c r="H241"/>
  <c r="H242"/>
  <c r="H243"/>
  <c r="I243" s="1"/>
  <c r="H244"/>
  <c r="H245"/>
  <c r="H246"/>
  <c r="H247"/>
  <c r="H248"/>
  <c r="H249"/>
  <c r="H250"/>
  <c r="H251"/>
  <c r="H252"/>
  <c r="H253"/>
  <c r="I253" s="1"/>
  <c r="H254"/>
  <c r="I254" s="1"/>
  <c r="H255"/>
  <c r="H256"/>
  <c r="I256" s="1"/>
  <c r="H257"/>
  <c r="H258"/>
  <c r="H259"/>
  <c r="H260"/>
  <c r="H261"/>
  <c r="I261"/>
  <c r="H262"/>
  <c r="H263"/>
  <c r="H264"/>
  <c r="I264"/>
  <c r="H265"/>
  <c r="H266"/>
  <c r="I266" s="1"/>
  <c r="H267"/>
  <c r="H268"/>
  <c r="H269"/>
  <c r="I269" s="1"/>
  <c r="H270"/>
  <c r="H271"/>
  <c r="H272"/>
  <c r="I272" s="1"/>
  <c r="H273"/>
  <c r="H274"/>
  <c r="H275"/>
  <c r="H276"/>
  <c r="H281"/>
  <c r="H282"/>
  <c r="I282" s="1"/>
  <c r="H277"/>
  <c r="H278"/>
  <c r="H279"/>
  <c r="H280"/>
  <c r="H283"/>
  <c r="I283" s="1"/>
  <c r="H284"/>
  <c r="H285"/>
  <c r="H286"/>
  <c r="I286" s="1"/>
  <c r="H287"/>
  <c r="H288"/>
  <c r="I288" s="1"/>
  <c r="G288"/>
  <c r="G287"/>
  <c r="G286"/>
  <c r="G285"/>
  <c r="G284"/>
  <c r="I284" s="1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I262"/>
  <c r="G261"/>
  <c r="G260"/>
  <c r="G259"/>
  <c r="G258"/>
  <c r="I258" s="1"/>
  <c r="G257"/>
  <c r="G256"/>
  <c r="G255"/>
  <c r="G254"/>
  <c r="G253"/>
  <c r="G252"/>
  <c r="G251"/>
  <c r="G250"/>
  <c r="I250"/>
  <c r="G249"/>
  <c r="G248"/>
  <c r="G247"/>
  <c r="I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I230" s="1"/>
  <c r="G229"/>
  <c r="G228"/>
  <c r="G227"/>
  <c r="G226"/>
  <c r="I226" s="1"/>
  <c r="G225"/>
  <c r="G224"/>
  <c r="G223"/>
  <c r="I223" s="1"/>
  <c r="G222"/>
  <c r="I222"/>
  <c r="G221"/>
  <c r="G220"/>
  <c r="G219"/>
  <c r="I219"/>
  <c r="G218"/>
  <c r="I218"/>
  <c r="G217"/>
  <c r="G216"/>
  <c r="G215"/>
  <c r="I215" s="1"/>
  <c r="G214"/>
  <c r="I214" s="1"/>
  <c r="G213"/>
  <c r="G212"/>
  <c r="G211"/>
  <c r="G210"/>
  <c r="I210"/>
  <c r="G209"/>
  <c r="G208"/>
  <c r="G207"/>
  <c r="G206"/>
  <c r="I206" s="1"/>
  <c r="G205"/>
  <c r="G204"/>
  <c r="G203"/>
  <c r="G202"/>
  <c r="I202" s="1"/>
  <c r="G201"/>
  <c r="G200"/>
  <c r="I200"/>
  <c r="G199"/>
  <c r="G198"/>
  <c r="I198" s="1"/>
  <c r="G197"/>
  <c r="G196"/>
  <c r="G195"/>
  <c r="I195" s="1"/>
  <c r="G194"/>
  <c r="G193"/>
  <c r="G192"/>
  <c r="G191"/>
  <c r="I191"/>
  <c r="G190"/>
  <c r="I190"/>
  <c r="G189"/>
  <c r="I189" s="1"/>
  <c r="G188"/>
  <c r="G187"/>
  <c r="I187"/>
  <c r="G186"/>
  <c r="I186"/>
  <c r="G185"/>
  <c r="G184"/>
  <c r="I184" s="1"/>
  <c r="G183"/>
  <c r="I183" s="1"/>
  <c r="G182"/>
  <c r="I182" s="1"/>
  <c r="G181"/>
  <c r="G180"/>
  <c r="G179"/>
  <c r="G178"/>
  <c r="I178"/>
  <c r="G177"/>
  <c r="G176"/>
  <c r="I176" s="1"/>
  <c r="G175"/>
  <c r="G174"/>
  <c r="I174"/>
  <c r="G173"/>
  <c r="G172"/>
  <c r="G171"/>
  <c r="G170"/>
  <c r="I170" s="1"/>
  <c r="G169"/>
  <c r="G168"/>
  <c r="I168"/>
  <c r="G167"/>
  <c r="G166"/>
  <c r="I166" s="1"/>
  <c r="G165"/>
  <c r="G164"/>
  <c r="G163"/>
  <c r="I163" s="1"/>
  <c r="G162"/>
  <c r="I162" s="1"/>
  <c r="G161"/>
  <c r="G160"/>
  <c r="G159"/>
  <c r="I159" s="1"/>
  <c r="G158"/>
  <c r="G157"/>
  <c r="G156"/>
  <c r="G155"/>
  <c r="I155" s="1"/>
  <c r="G154"/>
  <c r="I154"/>
  <c r="G153"/>
  <c r="G152"/>
  <c r="I152" s="1"/>
  <c r="G151"/>
  <c r="I151" s="1"/>
  <c r="G150"/>
  <c r="I150" s="1"/>
  <c r="G149"/>
  <c r="I149" s="1"/>
  <c r="G148"/>
  <c r="G147"/>
  <c r="I147"/>
  <c r="G146"/>
  <c r="I146" s="1"/>
  <c r="G145"/>
  <c r="I145"/>
  <c r="G144"/>
  <c r="I144"/>
  <c r="G143"/>
  <c r="I143"/>
  <c r="G142"/>
  <c r="I142"/>
  <c r="G141"/>
  <c r="G140"/>
  <c r="I140" s="1"/>
  <c r="G139"/>
  <c r="I139" s="1"/>
  <c r="G138"/>
  <c r="I138" s="1"/>
  <c r="G137"/>
  <c r="I137" s="1"/>
  <c r="G136"/>
  <c r="I136" s="1"/>
  <c r="G135"/>
  <c r="I135"/>
  <c r="G134"/>
  <c r="I134"/>
  <c r="G133"/>
  <c r="G132"/>
  <c r="I132" s="1"/>
  <c r="G131"/>
  <c r="I131" s="1"/>
  <c r="G130"/>
  <c r="I130" s="1"/>
  <c r="G129"/>
  <c r="G128"/>
  <c r="G127"/>
  <c r="I127" s="1"/>
  <c r="G126"/>
  <c r="I126" s="1"/>
  <c r="G125"/>
  <c r="I125" s="1"/>
  <c r="G124"/>
  <c r="I124"/>
  <c r="G123"/>
  <c r="I123"/>
  <c r="G122"/>
  <c r="I122"/>
  <c r="G121"/>
  <c r="G120"/>
  <c r="I120" s="1"/>
  <c r="G119"/>
  <c r="I119"/>
  <c r="G118"/>
  <c r="I118"/>
  <c r="G117"/>
  <c r="G116"/>
  <c r="I116" s="1"/>
  <c r="G115"/>
  <c r="I115"/>
  <c r="G114"/>
  <c r="I114"/>
  <c r="G113"/>
  <c r="G112"/>
  <c r="G111"/>
  <c r="I111"/>
  <c r="G110"/>
  <c r="I110"/>
  <c r="G109"/>
  <c r="G108"/>
  <c r="I108" s="1"/>
  <c r="G107"/>
  <c r="G106"/>
  <c r="I106" s="1"/>
  <c r="G105"/>
  <c r="G104"/>
  <c r="G103"/>
  <c r="G102"/>
  <c r="I102"/>
  <c r="G101"/>
  <c r="G100"/>
  <c r="I100" s="1"/>
  <c r="G99"/>
  <c r="G98"/>
  <c r="G97"/>
  <c r="G96"/>
  <c r="G95"/>
  <c r="I95" s="1"/>
  <c r="G94"/>
  <c r="I94" s="1"/>
  <c r="G93"/>
  <c r="G92"/>
  <c r="G91"/>
  <c r="I91" s="1"/>
  <c r="G90"/>
  <c r="G89"/>
  <c r="G88"/>
  <c r="G87"/>
  <c r="I87"/>
  <c r="G86"/>
  <c r="I86"/>
  <c r="G85"/>
  <c r="G84"/>
  <c r="G83"/>
  <c r="I83"/>
  <c r="G82"/>
  <c r="I82"/>
  <c r="G81"/>
  <c r="G80"/>
  <c r="G79"/>
  <c r="G78"/>
  <c r="G77"/>
  <c r="G76"/>
  <c r="I76" s="1"/>
  <c r="G75"/>
  <c r="G74"/>
  <c r="I74"/>
  <c r="G73"/>
  <c r="G72"/>
  <c r="G71"/>
  <c r="G70"/>
  <c r="I70" s="1"/>
  <c r="G69"/>
  <c r="G68"/>
  <c r="I68"/>
  <c r="G67"/>
  <c r="G66"/>
  <c r="I66" s="1"/>
  <c r="G65"/>
  <c r="I65" s="1"/>
  <c r="G64"/>
  <c r="G63"/>
  <c r="I63" s="1"/>
  <c r="G62"/>
  <c r="I62" s="1"/>
  <c r="G61"/>
  <c r="I61" s="1"/>
  <c r="G60"/>
  <c r="G59"/>
  <c r="I59"/>
  <c r="G58"/>
  <c r="I58"/>
  <c r="G57"/>
  <c r="G56"/>
  <c r="G55"/>
  <c r="G54"/>
  <c r="G53"/>
  <c r="G52"/>
  <c r="G51"/>
  <c r="G50"/>
  <c r="G49"/>
  <c r="G48"/>
  <c r="G47"/>
  <c r="I47"/>
  <c r="G46"/>
  <c r="I46"/>
  <c r="G45"/>
  <c r="G44"/>
  <c r="G43"/>
  <c r="I43"/>
  <c r="G42"/>
  <c r="G41"/>
  <c r="I41" s="1"/>
  <c r="G40"/>
  <c r="G39"/>
  <c r="I39" s="1"/>
  <c r="G38"/>
  <c r="I38" s="1"/>
  <c r="G37"/>
  <c r="I37" s="1"/>
  <c r="G36"/>
  <c r="I36" s="1"/>
  <c r="G35"/>
  <c r="I35"/>
  <c r="G34"/>
  <c r="G33"/>
  <c r="G32"/>
  <c r="G31"/>
  <c r="G30"/>
  <c r="G29"/>
  <c r="I29" s="1"/>
  <c r="G28"/>
  <c r="I28"/>
  <c r="G27"/>
  <c r="G26"/>
  <c r="I26" s="1"/>
  <c r="G25"/>
  <c r="I25" s="1"/>
  <c r="G24"/>
  <c r="G23"/>
  <c r="I23"/>
  <c r="G22"/>
  <c r="G21"/>
  <c r="I21" s="1"/>
  <c r="G20"/>
  <c r="G19"/>
  <c r="I19" s="1"/>
  <c r="G18"/>
  <c r="I18" s="1"/>
  <c r="G17"/>
  <c r="G16"/>
  <c r="G15"/>
  <c r="G14"/>
  <c r="G13"/>
  <c r="G12"/>
  <c r="G11"/>
  <c r="G289" s="1"/>
  <c r="D5" i="10"/>
  <c r="H5" i="7"/>
  <c r="E5" i="2" s="1"/>
  <c r="D67" i="8"/>
  <c r="D66" s="1"/>
  <c r="E66" s="1"/>
  <c r="C67"/>
  <c r="C66"/>
  <c r="D64"/>
  <c r="D59" s="1"/>
  <c r="C64"/>
  <c r="D62"/>
  <c r="C62"/>
  <c r="E62" s="1"/>
  <c r="D60"/>
  <c r="C60"/>
  <c r="C59"/>
  <c r="D57"/>
  <c r="C57"/>
  <c r="C56"/>
  <c r="C55" s="1"/>
  <c r="C54" s="1"/>
  <c r="D56"/>
  <c r="D52"/>
  <c r="C52"/>
  <c r="C51"/>
  <c r="E51" s="1"/>
  <c r="D51"/>
  <c r="D50"/>
  <c r="D48"/>
  <c r="D47"/>
  <c r="C48"/>
  <c r="C47" s="1"/>
  <c r="E47" s="1"/>
  <c r="D45"/>
  <c r="D44"/>
  <c r="C45"/>
  <c r="C44" s="1"/>
  <c r="D41"/>
  <c r="D40"/>
  <c r="E40" s="1"/>
  <c r="C41"/>
  <c r="C40"/>
  <c r="D38"/>
  <c r="E38"/>
  <c r="C38"/>
  <c r="D36"/>
  <c r="D35"/>
  <c r="C36"/>
  <c r="E36" s="1"/>
  <c r="D32"/>
  <c r="C32"/>
  <c r="E32" s="1"/>
  <c r="D30"/>
  <c r="E30" s="1"/>
  <c r="C30"/>
  <c r="D27"/>
  <c r="E27" s="1"/>
  <c r="C27"/>
  <c r="C26"/>
  <c r="D24"/>
  <c r="C24"/>
  <c r="D22"/>
  <c r="C22"/>
  <c r="C17" s="1"/>
  <c r="D20"/>
  <c r="C20"/>
  <c r="D18"/>
  <c r="D17"/>
  <c r="D16" s="1"/>
  <c r="C18"/>
  <c r="D12"/>
  <c r="D11"/>
  <c r="C12"/>
  <c r="C11"/>
  <c r="D5"/>
  <c r="C68" i="9"/>
  <c r="C69"/>
  <c r="D66"/>
  <c r="D61" s="1"/>
  <c r="C66"/>
  <c r="D64"/>
  <c r="C64"/>
  <c r="E64"/>
  <c r="D62"/>
  <c r="C62"/>
  <c r="E62" s="1"/>
  <c r="C59"/>
  <c r="C58"/>
  <c r="C54"/>
  <c r="C53"/>
  <c r="C52"/>
  <c r="D50"/>
  <c r="C50"/>
  <c r="E50" s="1"/>
  <c r="C49"/>
  <c r="D47"/>
  <c r="C47"/>
  <c r="E47" s="1"/>
  <c r="C46"/>
  <c r="D43"/>
  <c r="D42"/>
  <c r="C43"/>
  <c r="C42" s="1"/>
  <c r="E42" s="1"/>
  <c r="D40"/>
  <c r="E40"/>
  <c r="D38"/>
  <c r="C40"/>
  <c r="C38"/>
  <c r="D34"/>
  <c r="E34"/>
  <c r="C34"/>
  <c r="D32"/>
  <c r="C32"/>
  <c r="E32"/>
  <c r="C29"/>
  <c r="C28"/>
  <c r="C26"/>
  <c r="C24"/>
  <c r="E24" s="1"/>
  <c r="C22"/>
  <c r="C20"/>
  <c r="C19" s="1"/>
  <c r="C14"/>
  <c r="C13"/>
  <c r="D14"/>
  <c r="E14" s="1"/>
  <c r="D20"/>
  <c r="D22"/>
  <c r="D19"/>
  <c r="E23"/>
  <c r="D24"/>
  <c r="D26"/>
  <c r="E27"/>
  <c r="D29"/>
  <c r="E29" s="1"/>
  <c r="E30"/>
  <c r="E33"/>
  <c r="E35"/>
  <c r="D54"/>
  <c r="D53"/>
  <c r="E53"/>
  <c r="D59"/>
  <c r="E59" s="1"/>
  <c r="E60"/>
  <c r="E21"/>
  <c r="E36"/>
  <c r="E41"/>
  <c r="E44"/>
  <c r="E48"/>
  <c r="E55"/>
  <c r="E20" i="10"/>
  <c r="E19" s="1"/>
  <c r="E18" s="1"/>
  <c r="E17" s="1"/>
  <c r="E15"/>
  <c r="E14" s="1"/>
  <c r="E13" s="1"/>
  <c r="E16"/>
  <c r="D21"/>
  <c r="E21" s="1"/>
  <c r="C21"/>
  <c r="D19"/>
  <c r="D18" s="1"/>
  <c r="D17" s="1"/>
  <c r="D15"/>
  <c r="D14"/>
  <c r="D13" s="1"/>
  <c r="C19"/>
  <c r="C18"/>
  <c r="C17" s="1"/>
  <c r="C15"/>
  <c r="C14"/>
  <c r="C13"/>
  <c r="E68" i="8"/>
  <c r="E67"/>
  <c r="E65"/>
  <c r="E63"/>
  <c r="E61"/>
  <c r="E60"/>
  <c r="E58"/>
  <c r="E57"/>
  <c r="E53"/>
  <c r="E49"/>
  <c r="E46"/>
  <c r="E42"/>
  <c r="E39"/>
  <c r="E37"/>
  <c r="E34"/>
  <c r="E33"/>
  <c r="E31"/>
  <c r="E28"/>
  <c r="E25"/>
  <c r="E24"/>
  <c r="E23"/>
  <c r="E22"/>
  <c r="E21"/>
  <c r="E19"/>
  <c r="E15"/>
  <c r="E14"/>
  <c r="E13"/>
  <c r="E15" i="9"/>
  <c r="E16"/>
  <c r="E17"/>
  <c r="E25"/>
  <c r="E39"/>
  <c r="E51"/>
  <c r="D69"/>
  <c r="E70"/>
  <c r="E67"/>
  <c r="E65"/>
  <c r="E63"/>
  <c r="I285" i="7"/>
  <c r="I281"/>
  <c r="I280"/>
  <c r="I277"/>
  <c r="I276"/>
  <c r="I273"/>
  <c r="I268"/>
  <c r="I265"/>
  <c r="I260"/>
  <c r="I257"/>
  <c r="I252"/>
  <c r="I249"/>
  <c r="I248"/>
  <c r="I245"/>
  <c r="I244"/>
  <c r="I241"/>
  <c r="I240"/>
  <c r="I237"/>
  <c r="I236"/>
  <c r="I233"/>
  <c r="I232"/>
  <c r="I229"/>
  <c r="I228"/>
  <c r="I225"/>
  <c r="I224"/>
  <c r="I220"/>
  <c r="I217"/>
  <c r="I216"/>
  <c r="I209"/>
  <c r="I208"/>
  <c r="I205"/>
  <c r="I204"/>
  <c r="I201"/>
  <c r="I197"/>
  <c r="I196"/>
  <c r="I193"/>
  <c r="I192"/>
  <c r="I188"/>
  <c r="I185"/>
  <c r="I181"/>
  <c r="I180"/>
  <c r="I177"/>
  <c r="I173"/>
  <c r="I172"/>
  <c r="I169"/>
  <c r="I165"/>
  <c r="I164"/>
  <c r="I161"/>
  <c r="I160"/>
  <c r="I157"/>
  <c r="I156"/>
  <c r="I153"/>
  <c r="I148"/>
  <c r="I141"/>
  <c r="I133"/>
  <c r="I129"/>
  <c r="I128"/>
  <c r="I121"/>
  <c r="I117"/>
  <c r="I113"/>
  <c r="I112"/>
  <c r="I109"/>
  <c r="I105"/>
  <c r="I104"/>
  <c r="I101"/>
  <c r="I96"/>
  <c r="I93"/>
  <c r="I92"/>
  <c r="I88"/>
  <c r="I85"/>
  <c r="I84"/>
  <c r="I81"/>
  <c r="I80"/>
  <c r="I77"/>
  <c r="I73"/>
  <c r="I72"/>
  <c r="I69"/>
  <c r="I64"/>
  <c r="I53"/>
  <c r="I52"/>
  <c r="I49"/>
  <c r="I48"/>
  <c r="I45"/>
  <c r="I44"/>
  <c r="I40"/>
  <c r="F30" i="2"/>
  <c r="F26"/>
  <c r="F35"/>
  <c r="E34"/>
  <c r="F34"/>
  <c r="D34"/>
  <c r="F22"/>
  <c r="E13"/>
  <c r="F13" s="1"/>
  <c r="D13"/>
  <c r="D42" s="1"/>
  <c r="F42" s="1"/>
  <c r="F16"/>
  <c r="E38"/>
  <c r="D38"/>
  <c r="F38" s="1"/>
  <c r="E24"/>
  <c r="D24"/>
  <c r="F24" s="1"/>
  <c r="F15"/>
  <c r="D29"/>
  <c r="E29"/>
  <c r="D18"/>
  <c r="D36"/>
  <c r="D20"/>
  <c r="D40"/>
  <c r="E18"/>
  <c r="F18"/>
  <c r="E36"/>
  <c r="E20"/>
  <c r="E40"/>
  <c r="F14"/>
  <c r="F17"/>
  <c r="F19"/>
  <c r="F21"/>
  <c r="F23"/>
  <c r="F25"/>
  <c r="F28"/>
  <c r="F32"/>
  <c r="F33"/>
  <c r="F37"/>
  <c r="F39"/>
  <c r="F41"/>
  <c r="F40"/>
  <c r="F31"/>
  <c r="F27"/>
  <c r="F20"/>
  <c r="E41" i="8"/>
  <c r="E20"/>
  <c r="E52"/>
  <c r="E45"/>
  <c r="E69" i="9"/>
  <c r="D37"/>
  <c r="E37"/>
  <c r="D68"/>
  <c r="C45"/>
  <c r="C37"/>
  <c r="C31"/>
  <c r="E38"/>
  <c r="E22"/>
  <c r="E20"/>
  <c r="E68"/>
  <c r="F36" i="2"/>
  <c r="F29"/>
  <c r="I57" i="7"/>
  <c r="I167"/>
  <c r="I171"/>
  <c r="I175"/>
  <c r="I179"/>
  <c r="I158"/>
  <c r="I99"/>
  <c r="I103"/>
  <c r="I107"/>
  <c r="I98"/>
  <c r="I90"/>
  <c r="I67"/>
  <c r="I71"/>
  <c r="I75"/>
  <c r="I50"/>
  <c r="I51"/>
  <c r="I42"/>
  <c r="I34"/>
  <c r="I194"/>
  <c r="I203"/>
  <c r="I199"/>
  <c r="I207"/>
  <c r="I211"/>
  <c r="I227"/>
  <c r="I231"/>
  <c r="I234"/>
  <c r="I242"/>
  <c r="I238"/>
  <c r="I246"/>
  <c r="I251"/>
  <c r="I255"/>
  <c r="I259"/>
  <c r="I263"/>
  <c r="I267"/>
  <c r="I271"/>
  <c r="I275"/>
  <c r="I279"/>
  <c r="I270"/>
  <c r="I274"/>
  <c r="I278"/>
  <c r="I287"/>
  <c r="I27"/>
  <c r="I33"/>
  <c r="I16"/>
  <c r="I14"/>
  <c r="I32"/>
  <c r="I15"/>
  <c r="I31"/>
  <c r="I22"/>
  <c r="I13"/>
  <c r="I30"/>
  <c r="I20"/>
  <c r="I12"/>
  <c r="D18" i="9"/>
  <c r="E43"/>
  <c r="D31"/>
  <c r="E31" s="1"/>
  <c r="E11" i="8"/>
  <c r="D52" i="9"/>
  <c r="E52" s="1"/>
  <c r="E26"/>
  <c r="D46"/>
  <c r="D45" s="1"/>
  <c r="E45" s="1"/>
  <c r="D49"/>
  <c r="E49" s="1"/>
  <c r="D43" i="8"/>
  <c r="D13" i="9"/>
  <c r="E42" i="2"/>
  <c r="E54" i="9"/>
  <c r="E56" i="8"/>
  <c r="E12"/>
  <c r="E18"/>
  <c r="E48"/>
  <c r="E13" i="9"/>
  <c r="E46"/>
  <c r="E16" i="8" l="1"/>
  <c r="E17"/>
  <c r="C16"/>
  <c r="C12" i="10"/>
  <c r="C11" s="1"/>
  <c r="I79" i="7"/>
  <c r="H78"/>
  <c r="I78" s="1"/>
  <c r="C18" i="9"/>
  <c r="E19"/>
  <c r="D55" i="8"/>
  <c r="E59"/>
  <c r="C43"/>
  <c r="E43" s="1"/>
  <c r="E44"/>
  <c r="I56" i="7"/>
  <c r="H55"/>
  <c r="D12" i="10"/>
  <c r="I289" i="7"/>
  <c r="I11"/>
  <c r="D58" i="9"/>
  <c r="D28"/>
  <c r="E28" s="1"/>
  <c r="C61"/>
  <c r="C57" s="1"/>
  <c r="C56" s="1"/>
  <c r="D26" i="8"/>
  <c r="E26" s="1"/>
  <c r="D29"/>
  <c r="C35"/>
  <c r="C50"/>
  <c r="E50" s="1"/>
  <c r="E64"/>
  <c r="E66" i="9"/>
  <c r="C29" i="8" l="1"/>
  <c r="C10" s="1"/>
  <c r="C69" s="1"/>
  <c r="E35"/>
  <c r="D54"/>
  <c r="E55"/>
  <c r="D10"/>
  <c r="E10" s="1"/>
  <c r="H54" i="7"/>
  <c r="I54" s="1"/>
  <c r="I55"/>
  <c r="C12" i="9"/>
  <c r="E18"/>
  <c r="C71"/>
  <c r="D12"/>
  <c r="E12" s="1"/>
  <c r="E58"/>
  <c r="D57"/>
  <c r="E12" i="10"/>
  <c r="E11" s="1"/>
  <c r="D11"/>
  <c r="E61" i="9"/>
  <c r="D56" l="1"/>
  <c r="E57"/>
  <c r="E54" i="8"/>
  <c r="D69"/>
  <c r="E69" s="1"/>
  <c r="E29"/>
  <c r="D71" i="9" l="1"/>
  <c r="E71" s="1"/>
  <c r="E56"/>
</calcChain>
</file>

<file path=xl/sharedStrings.xml><?xml version="1.0" encoding="utf-8"?>
<sst xmlns="http://schemas.openxmlformats.org/spreadsheetml/2006/main" count="2075" uniqueCount="422">
  <si>
    <t>Мобилизационная и вневойсковая подготовка</t>
  </si>
  <si>
    <t xml:space="preserve">по ведомственной структуре расходов </t>
  </si>
  <si>
    <t>Наименование расходов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</si>
  <si>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</si>
  <si>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</si>
  <si>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</si>
  <si>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</si>
  <si>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</si>
  <si>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</si>
  <si>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</t>
  </si>
  <si>
    <t>Раздел</t>
  </si>
  <si>
    <t>Подраздел</t>
  </si>
  <si>
    <t>01</t>
  </si>
  <si>
    <t>03</t>
  </si>
  <si>
    <t>02</t>
  </si>
  <si>
    <t>04</t>
  </si>
  <si>
    <t>05</t>
  </si>
  <si>
    <t>08</t>
  </si>
  <si>
    <t>10</t>
  </si>
  <si>
    <t>07</t>
  </si>
  <si>
    <t>09</t>
  </si>
  <si>
    <t>Приложение № 4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</si>
  <si>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</si>
  <si>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</si>
  <si>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</si>
  <si>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</si>
  <si>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</si>
  <si>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Бюджетные ассигнования</t>
  </si>
  <si>
    <t>Результат исполнения, %</t>
  </si>
  <si>
    <t xml:space="preserve">ИТОГО БЮДЖЕТ ПОСЕЛЕНИЯ </t>
  </si>
  <si>
    <t>Национальная безопасность и правоохранительная деятельность</t>
  </si>
  <si>
    <t>1</t>
  </si>
  <si>
    <t>2</t>
  </si>
  <si>
    <t>3</t>
  </si>
  <si>
    <t>Общеэкономические вопросы</t>
  </si>
  <si>
    <t>Национальная экономика</t>
  </si>
  <si>
    <t>Другие вопросы в области жилищно-коммунального хозяйства</t>
  </si>
  <si>
    <t>ИТОГО</t>
  </si>
  <si>
    <t>Приложение 5</t>
  </si>
  <si>
    <t>Единый налог на вмененный доход для отдельных видов деятельности</t>
  </si>
  <si>
    <t>Связь и информатика</t>
  </si>
  <si>
    <t>Культура,кинематография</t>
  </si>
  <si>
    <t>13</t>
  </si>
  <si>
    <t xml:space="preserve">Исполнено           </t>
  </si>
  <si>
    <t>14</t>
  </si>
  <si>
    <t>Органы юстиции</t>
  </si>
  <si>
    <t>Другие вопросы в облсати национальной безопасности и правоохранительной деятельности</t>
  </si>
  <si>
    <t>Дорожное хозяйство (дорожные фонды)</t>
  </si>
  <si>
    <t>Социальная политика</t>
  </si>
  <si>
    <t>% исполнения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</si>
  <si>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</si>
  <si>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</si>
  <si>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</si>
  <si>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</si>
  <si>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</si>
  <si>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</si>
  <si>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</si>
  <si>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</si>
  <si>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</si>
  <si>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</si>
  <si>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</si>
  <si>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</si>
  <si>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</si>
  <si>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1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</si>
  <si>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</si>
  <si>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</si>
  <si>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Иные бюджетные ассигнования</t>
  </si>
  <si>
    <t>Пенсионное обеспечение</t>
  </si>
  <si>
    <t>Социальное обеспечение и иные выплаты населению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</si>
  <si>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</si>
  <si>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</si>
  <si>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</si>
  <si>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</si>
  <si>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</si>
  <si>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</si>
  <si>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</si>
  <si>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</si>
  <si>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</si>
  <si>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</si>
  <si>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</si>
  <si>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</si>
  <si>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</si>
  <si>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</si>
  <si>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Утвержденные бюджетные назначения</t>
  </si>
  <si>
    <t>Исполнено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</si>
  <si>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</si>
  <si>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</si>
  <si>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</si>
  <si>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</si>
  <si>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</si>
  <si>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Приложение2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</si>
  <si>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</si>
  <si>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</si>
  <si>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</si>
  <si>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</si>
  <si>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</si>
  <si>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</si>
  <si>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</si>
  <si>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Вед</t>
  </si>
  <si>
    <t>Рз</t>
  </si>
  <si>
    <t>ПР</t>
  </si>
  <si>
    <t>ЦСР</t>
  </si>
  <si>
    <t>ВР</t>
  </si>
  <si>
    <t>0400000000</t>
  </si>
  <si>
    <t>0400274190</t>
  </si>
  <si>
    <t>0700000000</t>
  </si>
  <si>
    <t>0700100000</t>
  </si>
  <si>
    <t>Исполнение, %</t>
  </si>
  <si>
    <t>муниципального образования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</si>
  <si>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</si>
  <si>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</si>
  <si>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</si>
  <si>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</si>
  <si>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</si>
  <si>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</si>
  <si>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0700102030</t>
  </si>
  <si>
    <t>0700102040</t>
  </si>
  <si>
    <t>0100000000</t>
  </si>
  <si>
    <t>0700200000</t>
  </si>
  <si>
    <t>Субвенции местным бюджетам на выполнение передаваемых полномочий субъектов Российской Федерации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</si>
  <si>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</si>
  <si>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</si>
  <si>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</si>
  <si>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Охрана окружающей среды</t>
  </si>
  <si>
    <t>Другие вопросы в области охраны окружающей среды</t>
  </si>
  <si>
    <t>Наименование</t>
  </si>
  <si>
    <t>Расходы на обеспечение функций органов местного самоуправления</t>
  </si>
  <si>
    <t>0900100000</t>
  </si>
  <si>
    <t>0700500000</t>
  </si>
  <si>
    <t>00</t>
  </si>
  <si>
    <t>0200000000</t>
  </si>
  <si>
    <t>0500000000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</si>
  <si>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</si>
  <si>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</si>
  <si>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Исполнение судебных актов</t>
  </si>
  <si>
    <t>Фонд оплаты труда учреждений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</si>
  <si>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</si>
  <si>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</si>
  <si>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</si>
  <si>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</si>
  <si>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0900000000</t>
  </si>
  <si>
    <t>Уточненный план, руб.</t>
  </si>
  <si>
    <t>Исполнение , руб.</t>
  </si>
  <si>
    <t>Транспортный налог</t>
  </si>
  <si>
    <t>Транспортный налог с организаций</t>
  </si>
  <si>
    <t>Транспортный налог с физических лиц</t>
  </si>
  <si>
    <t>Сельское хозяйство и рыболовство</t>
  </si>
  <si>
    <t>ОБЩЕГОСУДАРСТВЕННЫЕ ВОПРОСЫ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</si>
  <si>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</si>
  <si>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</si>
  <si>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Глава (высшее должностное лицо)муниципального образования</t>
  </si>
  <si>
    <t>100</t>
  </si>
  <si>
    <t>120</t>
  </si>
  <si>
    <t>Фонд оплаты труда государственных (муниципальных) органов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</si>
  <si>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</si>
  <si>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</si>
  <si>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</si>
  <si>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</si>
  <si>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540</t>
  </si>
  <si>
    <t>0700600000</t>
  </si>
  <si>
    <t>800</t>
  </si>
  <si>
    <t>0700202400</t>
  </si>
  <si>
    <t>122</t>
  </si>
  <si>
    <t>Иные выплаты персоналу государственных (муниципальных) органов, за исключением фонда оплаты труда</t>
  </si>
  <si>
    <t>0700900000</t>
  </si>
  <si>
    <t>Прочие мероприятия органов местного самоуправления</t>
  </si>
  <si>
    <t>0700902400</t>
  </si>
  <si>
    <t>200</t>
  </si>
  <si>
    <t>240</t>
  </si>
  <si>
    <t>244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</si>
  <si>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</si>
  <si>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</si>
  <si>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</si>
  <si>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</si>
  <si>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</si>
  <si>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</si>
  <si>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</si>
  <si>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</si>
  <si>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организационное и материально - техническое обеспечение подготовки и проведения выборов (голосований)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</si>
  <si>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</si>
  <si>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</si>
  <si>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</si>
  <si>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</si>
  <si>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>Расходы на выплаты персоналу казенных учреждений</t>
  </si>
  <si>
    <t>110</t>
  </si>
  <si>
    <t>111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</si>
  <si>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</si>
  <si>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</si>
  <si>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</si>
  <si>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</si>
  <si>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0800200000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</si>
  <si>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</si>
  <si>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</si>
  <si>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</si>
  <si>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</si>
  <si>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</si>
  <si>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</si>
  <si>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</si>
  <si>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</si>
  <si>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</si>
  <si>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>0700400000</t>
  </si>
  <si>
    <t>0700451180</t>
  </si>
  <si>
    <t>НАЦИОНАЛЬНАЯ БЕЗОПАСНОСТЬ И ПРАВООХРАНИТЕЛЬНАЯ ДЕЯТЕЛЬНОСТЬ</t>
  </si>
  <si>
    <t>0700300000</t>
  </si>
  <si>
    <t>0700359300</t>
  </si>
  <si>
    <t>07003D9300</t>
  </si>
  <si>
    <t>0600000000</t>
  </si>
  <si>
    <t>Основное мероприятие "Проведение противопожарной пропаганды, обеспечение противопожарной защиты населения и объектов муниципальной собственности"</t>
  </si>
  <si>
    <t>0600200000</t>
  </si>
  <si>
    <t>0600202400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</si>
  <si>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</si>
  <si>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0100300000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</si>
  <si>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</si>
  <si>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</si>
  <si>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</si>
  <si>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01003S2300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</si>
  <si>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</si>
  <si>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</si>
  <si>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</si>
  <si>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</si>
  <si>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</si>
  <si>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</si>
  <si>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</si>
  <si>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</si>
  <si>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</si>
  <si>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</si>
  <si>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</si>
  <si>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0400100000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</si>
  <si>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</si>
  <si>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</si>
  <si>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</si>
  <si>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</si>
  <si>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</si>
  <si>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</si>
  <si>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</si>
  <si>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</si>
  <si>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</si>
  <si>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</si>
  <si>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</si>
  <si>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Основное мероприятие "Прочее благоустройство"</t>
  </si>
  <si>
    <t>0200300000</t>
  </si>
  <si>
    <t>Расходы на мероприятия по благоустройству поселения</t>
  </si>
  <si>
    <t>0200376500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</si>
  <si>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</si>
  <si>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</si>
  <si>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</si>
  <si>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</si>
  <si>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0700502040</t>
  </si>
  <si>
    <t>ОБРАЗОВАНИЕ</t>
  </si>
  <si>
    <t>Молодежная политика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</si>
  <si>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</si>
  <si>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</si>
  <si>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0700500540</t>
  </si>
  <si>
    <t>КУЛЬТУРА, КИНЕМАТОГРАФИЯ</t>
  </si>
  <si>
    <t>Основное мероприятие "Организация деятельности муниципального учреждения"</t>
  </si>
  <si>
    <t>0500100000</t>
  </si>
  <si>
    <t>0500100590</t>
  </si>
  <si>
    <t>300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</si>
  <si>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</si>
  <si>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</si>
  <si>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</si>
  <si>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</si>
  <si>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</si>
  <si>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</si>
  <si>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</si>
  <si>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</si>
  <si>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</si>
  <si>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</si>
  <si>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</si>
  <si>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</si>
  <si>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</si>
  <si>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/>
  </si>
  <si>
    <t>Всего</t>
  </si>
  <si>
    <t>Код по Бюджетной классификации</t>
  </si>
  <si>
    <t>Наименование дохода</t>
  </si>
  <si>
    <t>000 10000000 00 0000 000</t>
  </si>
  <si>
    <t>000 10100000 00 0000 000</t>
  </si>
  <si>
    <t>000 10102000 01 0000 110</t>
  </si>
  <si>
    <t>000 10300000 00 0000 000</t>
  </si>
  <si>
    <t>000 10302000 01 0000 110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</si>
  <si>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</si>
  <si>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</si>
  <si>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</si>
  <si>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</si>
  <si>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</si>
  <si>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</si>
  <si>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</si>
  <si>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</si>
  <si>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</si>
  <si>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</si>
  <si>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</si>
  <si>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</si>
  <si>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</si>
  <si>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000 10604000 02 0000 110</t>
  </si>
  <si>
    <t>000 10606000 00 0000 110</t>
  </si>
  <si>
    <t>000 10606030 00 0000 110</t>
  </si>
  <si>
    <t>000 10606040 00 0000 110</t>
  </si>
  <si>
    <t>000 10800000 00 0000 000</t>
  </si>
  <si>
    <t>000 10804000 01 0000 110</t>
  </si>
  <si>
    <t>000 11100000 00 0000 000</t>
  </si>
  <si>
    <t>000 11105000 00 0000 120</t>
  </si>
  <si>
    <t>000 11105030 00 0000 120</t>
  </si>
  <si>
    <t>000 11109000 00 0000 120</t>
  </si>
  <si>
    <t>000 11109040 00 0000 120</t>
  </si>
  <si>
    <t>000 11300000 00 0000 000</t>
  </si>
  <si>
    <t>ДОХОДЫ ОТ ОКАЗАНИЯ ПЛАТНЫХ УСЛУГИ КОМПЕНСАЦИИ ЗАТРАТ ГОСУДАРСТВА</t>
  </si>
  <si>
    <t>000 11301000 00 0000 130</t>
  </si>
  <si>
    <t>000 11301990 00 0000 130</t>
  </si>
  <si>
    <t>000 20000000 00 0000 000</t>
  </si>
  <si>
    <t>000 20200000 00 0000 000</t>
  </si>
  <si>
    <t>000 20210000 00 0000 150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</si>
  <si>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</si>
  <si>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</si>
  <si>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000 20230000 00 0000 150</t>
  </si>
  <si>
    <t>000 20230024 00 0000 150</t>
  </si>
  <si>
    <t>000 20235118 00 0000 150</t>
  </si>
  <si>
    <t>000 20235930 00 0000 150</t>
  </si>
  <si>
    <t>000 20240000 00 0000 150</t>
  </si>
  <si>
    <t>000 20249999 00 0000 150</t>
  </si>
  <si>
    <t>182 10102010 01 0000 110</t>
  </si>
  <si>
    <t>182 10102020 01 0000 110</t>
  </si>
  <si>
    <t>182 10102030 01 0000 110</t>
  </si>
  <si>
    <t>100 10302231 01 0000 110</t>
  </si>
  <si>
    <t>100 10302241 01 0000 110</t>
  </si>
  <si>
    <t>100 10302251 01 0000 110</t>
  </si>
  <si>
    <t>100 10302261 01 0000 110</t>
  </si>
  <si>
    <t>182 10502010 02 0000 110</t>
  </si>
  <si>
    <t>182 10601030 10 0000 110</t>
  </si>
  <si>
    <t>182 10604011 02 0000 110</t>
  </si>
  <si>
    <t>182 10604012 02 0000 110</t>
  </si>
  <si>
    <t>182 10606033 10 0000 110</t>
  </si>
  <si>
    <t>182 10606043 10 0000 110</t>
  </si>
  <si>
    <t>650 10804020 01 0000 110</t>
  </si>
  <si>
    <t>650 11105035 10 0000 120</t>
  </si>
  <si>
    <t>650 11109045 10 0000 120</t>
  </si>
  <si>
    <t>650 11301995 10 0000 130</t>
  </si>
  <si>
    <t>650 20215001 10 0000 150</t>
  </si>
  <si>
    <t>650 20230024 10 0000 150</t>
  </si>
  <si>
    <t>650 20235118 10 0000 150</t>
  </si>
  <si>
    <t>650 20235930 10 0000 150</t>
  </si>
  <si>
    <t>650 20249999 10 0000 150</t>
  </si>
  <si>
    <t xml:space="preserve"> рублей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</si>
  <si>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</si>
  <si>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</si>
  <si>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</si>
  <si>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</si>
  <si>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</si>
  <si>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</si>
  <si>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</si>
  <si>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</si>
  <si>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</si>
  <si>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</si>
  <si>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</si>
  <si>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</si>
  <si>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</si>
  <si>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</si>
  <si>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</si>
  <si>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</si>
  <si>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</si>
  <si>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</si>
  <si>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</si>
  <si>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</si>
  <si>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 дефицита бюджета</t>
  </si>
  <si>
    <t>сельское поселение Мулымья</t>
  </si>
  <si>
    <t>к решению Совета депутатов</t>
  </si>
  <si>
    <t xml:space="preserve">Доходы бюджета муниципального образования сельского поселения Мулымья за 2021 год по кодам классификации доходов бюджета </t>
  </si>
  <si>
    <t>Расходы бюджета муниципального образования сельское поселение  Мулымья за  2021 год</t>
  </si>
  <si>
    <t>0700679990</t>
  </si>
  <si>
    <t xml:space="preserve">Расходы бюджета муниципального образования сельское поселение Мулымья  за  2021 год </t>
  </si>
  <si>
    <t>Источники   внутреннего финансирования дефицита бюджета муниципального образования сельское поселение Мулымья  за 2021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</si>
  <si>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Основное мероприятие "Проведение выборов в органы местного самоуправления"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</si>
  <si>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</si>
  <si>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0700102400</t>
  </si>
  <si>
    <t>Управление резервными средствами бюджета</t>
  </si>
  <si>
    <t>0700177770</t>
  </si>
  <si>
    <t>Резервные средства</t>
  </si>
  <si>
    <t>870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</si>
  <si>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</si>
  <si>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Основное мероприятие "Материально-техническое обеспечение администрации поселения"</t>
  </si>
  <si>
    <t>Закупка энергетических ресурсов</t>
  </si>
  <si>
    <t>247</t>
  </si>
  <si>
    <t>Расходы на обеспечение деятельности (оказание услуг) муниципальных учреждений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</si>
  <si>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</si>
  <si>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Основное мероприятие "Материально-техническое обеспечение"</t>
  </si>
  <si>
    <t>Основное мероприятие "Осуществление первичного воинского учета на территориях, где отсутствуют военные комиссариаты"</t>
  </si>
  <si>
    <t>Субвенция на осуществление первичного воинского уучета на территориях,где отсутствуют военные комиссариаты"</t>
  </si>
  <si>
    <t>Основное мероприятие "Государственная регистрация актов гражданского состояния"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</si>
  <si>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</si>
  <si>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</si>
  <si>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Гражданская оборона</t>
  </si>
  <si>
    <t>Муниципальная программа "Защита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года"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</si>
  <si>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</si>
  <si>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Мероприятия по созданию условий для деятельности народных дружин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</si>
  <si>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</si>
  <si>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</si>
  <si>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</si>
  <si>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</si>
  <si>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</si>
  <si>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Основное мероприятие "Содержание, реконструкция, ремонт дорог и пешеходных зон"</t>
  </si>
  <si>
    <t>Расходы на ремонт и зимнее-летнее содержание дорог</t>
  </si>
  <si>
    <t>Основное мероприятие «Ремонт муниципальных жилых помещений»</t>
  </si>
  <si>
    <t>0900102400</t>
  </si>
  <si>
    <t>Основное мероприятие "Расходы по благоустройству общественных и дворовых территорий поселений"</t>
  </si>
  <si>
    <t>Расходы на организацию трудозанятости подростков</t>
  </si>
  <si>
    <t>0500270145</t>
  </si>
  <si>
    <t>Расходы по обеспечению переданных полномочий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</si>
  <si>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</si>
  <si>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Софинансирование расходов на реализацию прочих расходов</t>
  </si>
  <si>
    <t>0500S00000</t>
  </si>
  <si>
    <t>Софинансирование расходов на реализацию прочих расходов (мероприятий)</t>
  </si>
  <si>
    <t>0500S70050</t>
  </si>
  <si>
    <t>Основное мероприятие "Дополнительное пенсионное обеспечение отдельных категорий граждан"</t>
  </si>
  <si>
    <t>к проекту решению Совета депутатов</t>
  </si>
  <si>
    <t>Приложение № 3</t>
  </si>
  <si>
    <t>к  проекту решению Совета депутатов</t>
  </si>
  <si>
    <t>650</t>
  </si>
  <si>
    <t>650 01 05 02 01 10 0000 510</t>
  </si>
  <si>
    <t>650 01 05 02 01 10 0000 610</t>
  </si>
  <si>
    <t>Доходы бюджета муниципального образования сельского поселения Мулымья за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</si>
  <si>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 разделам и подразделам функциональной классификации расходов </t>
  </si>
  <si>
    <t>Утвержденные бюджетные назначения на 2021 год</t>
  </si>
  <si>
    <t>от  29.04.2022г.  № 206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</si>
</sst>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_р_._-;_-@_-"/>
    <numFmt numFmtId="167" formatCode="_-* #,##0.00_р_._-;\-* #,##0.00_р_._-;_-* &quot;-&quot;_р_._-;_-@_-"/>
    <numFmt numFmtId="168" formatCode="0.0"/>
    <numFmt numFmtId="169" formatCode="#,##0.0"/>
    <numFmt numFmtId="170" formatCode="#,##0.00;[Red]\-#,##0.00"/>
    <numFmt numFmtId="171" formatCode="#,##0.00\ _₽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64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color indexed="64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</cellStyleXfs>
  <cellXfs count="15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4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2" borderId="2" xfId="0" applyFont="1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7" fontId="3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NumberFormat="1" applyFont="1" applyAlignment="1"/>
    <xf numFmtId="0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/>
    <xf numFmtId="0" fontId="9" fillId="0" borderId="0" xfId="0" applyFont="1" applyAlignment="1">
      <alignment horizontal="center" wrapText="1"/>
    </xf>
    <xf numFmtId="0" fontId="10" fillId="0" borderId="0" xfId="0" applyNumberFormat="1" applyFont="1"/>
    <xf numFmtId="2" fontId="0" fillId="0" borderId="0" xfId="0" applyNumberFormat="1"/>
    <xf numFmtId="165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2" fontId="10" fillId="0" borderId="0" xfId="0" applyNumberFormat="1" applyFont="1"/>
    <xf numFmtId="2" fontId="2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168" fontId="0" fillId="0" borderId="0" xfId="0" applyNumberFormat="1"/>
    <xf numFmtId="168" fontId="8" fillId="0" borderId="0" xfId="0" applyNumberFormat="1" applyFont="1" applyAlignment="1"/>
    <xf numFmtId="168" fontId="6" fillId="0" borderId="0" xfId="0" applyNumberFormat="1" applyFont="1"/>
    <xf numFmtId="168" fontId="10" fillId="0" borderId="0" xfId="0" applyNumberFormat="1" applyFont="1"/>
    <xf numFmtId="0" fontId="13" fillId="0" borderId="0" xfId="0" applyNumberFormat="1" applyFont="1" applyFill="1" applyBorder="1" applyAlignment="1">
      <alignment horizontal="left" vertical="center"/>
    </xf>
    <xf numFmtId="16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3" borderId="0" xfId="0" applyNumberFormat="1" applyFont="1" applyFill="1"/>
    <xf numFmtId="0" fontId="0" fillId="3" borderId="0" xfId="0" applyNumberFormat="1" applyFill="1"/>
    <xf numFmtId="169" fontId="3" fillId="0" borderId="0" xfId="0" applyNumberFormat="1" applyFont="1" applyAlignment="1">
      <alignment horizontal="left"/>
    </xf>
    <xf numFmtId="167" fontId="2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168" fontId="16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9" fillId="0" borderId="3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/>
    </xf>
    <xf numFmtId="0" fontId="20" fillId="0" borderId="3" xfId="0" applyFont="1" applyBorder="1" applyAlignment="1">
      <alignment horizontal="left" vertical="top" wrapText="1"/>
    </xf>
    <xf numFmtId="0" fontId="6" fillId="0" borderId="0" xfId="1" applyNumberFormat="1" applyFont="1" applyFill="1" applyBorder="1" applyAlignment="1" applyProtection="1">
      <alignment vertical="top"/>
    </xf>
    <xf numFmtId="0" fontId="18" fillId="0" borderId="0" xfId="1" applyNumberFormat="1" applyFont="1" applyFill="1" applyBorder="1" applyAlignment="1" applyProtection="1">
      <alignment horizontal="right" vertical="center" wrapText="1"/>
    </xf>
    <xf numFmtId="0" fontId="18" fillId="0" borderId="0" xfId="1" applyNumberFormat="1" applyFont="1" applyFill="1" applyBorder="1" applyAlignment="1" applyProtection="1">
      <alignment vertical="top"/>
    </xf>
    <xf numFmtId="0" fontId="18" fillId="0" borderId="0" xfId="1" applyNumberFormat="1" applyFont="1" applyFill="1" applyBorder="1" applyAlignment="1" applyProtection="1">
      <alignment horizontal="right" vertical="top"/>
    </xf>
    <xf numFmtId="0" fontId="22" fillId="0" borderId="4" xfId="1" applyNumberFormat="1" applyFont="1" applyFill="1" applyBorder="1" applyAlignment="1" applyProtection="1">
      <alignment horizontal="left" vertical="center" wrapText="1"/>
    </xf>
    <xf numFmtId="49" fontId="22" fillId="0" borderId="1" xfId="1" applyNumberFormat="1" applyFont="1" applyFill="1" applyBorder="1" applyAlignment="1">
      <alignment horizontal="center" vertical="top"/>
    </xf>
    <xf numFmtId="171" fontId="22" fillId="0" borderId="1" xfId="1" applyNumberFormat="1" applyFont="1" applyFill="1" applyBorder="1" applyAlignment="1" applyProtection="1">
      <alignment horizontal="right" vertical="top"/>
    </xf>
    <xf numFmtId="0" fontId="22" fillId="0" borderId="0" xfId="1" applyNumberFormat="1" applyFont="1" applyFill="1" applyBorder="1" applyAlignment="1" applyProtection="1">
      <alignment vertical="center"/>
    </xf>
    <xf numFmtId="43" fontId="22" fillId="0" borderId="1" xfId="1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vertical="top"/>
    </xf>
    <xf numFmtId="0" fontId="18" fillId="0" borderId="1" xfId="1" applyFont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center" vertical="top"/>
    </xf>
    <xf numFmtId="43" fontId="18" fillId="0" borderId="1" xfId="1" applyNumberFormat="1" applyFont="1" applyFill="1" applyBorder="1" applyAlignment="1" applyProtection="1">
      <alignment horizontal="right" vertical="top"/>
    </xf>
    <xf numFmtId="0" fontId="18" fillId="0" borderId="1" xfId="1" applyNumberFormat="1" applyFont="1" applyFill="1" applyBorder="1" applyAlignment="1" applyProtection="1">
      <alignment horizontal="left" vertical="center" wrapText="1"/>
    </xf>
    <xf numFmtId="0" fontId="18" fillId="0" borderId="1" xfId="2" applyNumberFormat="1" applyFont="1" applyFill="1" applyBorder="1" applyAlignment="1" applyProtection="1">
      <alignment vertical="center" wrapText="1"/>
      <protection hidden="1"/>
    </xf>
    <xf numFmtId="0" fontId="22" fillId="0" borderId="1" xfId="1" applyNumberFormat="1" applyFont="1" applyFill="1" applyBorder="1" applyAlignment="1" applyProtection="1">
      <alignment horizontal="left" vertical="center" wrapText="1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4" fontId="22" fillId="0" borderId="1" xfId="1" applyNumberFormat="1" applyFont="1" applyFill="1" applyBorder="1" applyAlignment="1" applyProtection="1">
      <alignment horizontal="right" vertical="top"/>
    </xf>
    <xf numFmtId="4" fontId="22" fillId="0" borderId="1" xfId="1" applyNumberFormat="1" applyFont="1" applyFill="1" applyBorder="1" applyAlignment="1" applyProtection="1">
      <alignment vertical="top"/>
    </xf>
    <xf numFmtId="4" fontId="18" fillId="0" borderId="1" xfId="1" applyNumberFormat="1" applyFont="1" applyFill="1" applyBorder="1" applyAlignment="1" applyProtection="1">
      <alignment vertical="top"/>
    </xf>
    <xf numFmtId="168" fontId="6" fillId="0" borderId="1" xfId="1" applyNumberFormat="1" applyFont="1" applyFill="1" applyBorder="1" applyAlignment="1" applyProtection="1">
      <alignment vertical="top"/>
    </xf>
    <xf numFmtId="168" fontId="5" fillId="0" borderId="1" xfId="1" applyNumberFormat="1" applyFont="1" applyFill="1" applyBorder="1" applyAlignment="1" applyProtection="1">
      <alignment vertical="top"/>
    </xf>
    <xf numFmtId="0" fontId="0" fillId="0" borderId="0" xfId="0" applyFont="1"/>
    <xf numFmtId="0" fontId="14" fillId="4" borderId="1" xfId="3" applyNumberFormat="1" applyFont="1" applyFill="1" applyBorder="1" applyAlignment="1" applyProtection="1">
      <alignment horizontal="center" vertical="center"/>
      <protection hidden="1"/>
    </xf>
    <xf numFmtId="169" fontId="23" fillId="4" borderId="1" xfId="0" applyNumberFormat="1" applyFont="1" applyFill="1" applyBorder="1" applyAlignment="1">
      <alignment horizontal="center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0" fontId="14" fillId="4" borderId="0" xfId="3" applyFont="1" applyFill="1"/>
    <xf numFmtId="0" fontId="14" fillId="4" borderId="1" xfId="3" applyNumberFormat="1" applyFont="1" applyFill="1" applyBorder="1" applyAlignment="1" applyProtection="1">
      <alignment horizontal="center"/>
      <protection hidden="1"/>
    </xf>
    <xf numFmtId="0" fontId="14" fillId="4" borderId="1" xfId="3" applyNumberFormat="1" applyFont="1" applyFill="1" applyBorder="1"/>
    <xf numFmtId="0" fontId="15" fillId="4" borderId="0" xfId="3" applyFont="1" applyFill="1"/>
    <xf numFmtId="0" fontId="24" fillId="0" borderId="0" xfId="0" applyFont="1"/>
    <xf numFmtId="0" fontId="23" fillId="2" borderId="1" xfId="0" applyNumberFormat="1" applyFont="1" applyFill="1" applyBorder="1" applyAlignment="1">
      <alignment vertical="top" wrapText="1"/>
    </xf>
    <xf numFmtId="0" fontId="25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9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49" fontId="3" fillId="2" borderId="0" xfId="0" applyNumberFormat="1" applyFont="1" applyFill="1" applyAlignment="1">
      <alignment horizontal="left"/>
    </xf>
    <xf numFmtId="169" fontId="3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wrapText="1"/>
    </xf>
    <xf numFmtId="0" fontId="8" fillId="0" borderId="0" xfId="0" applyNumberFormat="1" applyFont="1"/>
    <xf numFmtId="169" fontId="8" fillId="0" borderId="0" xfId="0" applyNumberFormat="1" applyFont="1"/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14" fillId="0" borderId="0" xfId="0" applyFont="1"/>
    <xf numFmtId="49" fontId="3" fillId="2" borderId="0" xfId="0" applyNumberFormat="1" applyFont="1" applyFill="1"/>
    <xf numFmtId="49" fontId="14" fillId="4" borderId="1" xfId="3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/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Alignment="1">
      <alignment horizontal="center"/>
    </xf>
    <xf numFmtId="0" fontId="18" fillId="0" borderId="1" xfId="1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21" fillId="0" borderId="0" xfId="1" applyNumberFormat="1" applyFont="1" applyFill="1" applyBorder="1" applyAlignment="1" applyProtection="1">
      <alignment horizontal="center" vertical="top" wrapText="1"/>
    </xf>
    <xf numFmtId="0" fontId="18" fillId="0" borderId="5" xfId="1" applyNumberFormat="1" applyFont="1" applyFill="1" applyBorder="1" applyAlignment="1" applyProtection="1">
      <alignment horizontal="center" vertical="top" wrapText="1"/>
    </xf>
    <xf numFmtId="0" fontId="18" fillId="0" borderId="4" xfId="1" applyNumberFormat="1" applyFont="1" applyFill="1" applyBorder="1" applyAlignment="1" applyProtection="1">
      <alignment horizontal="center" vertical="top" wrapText="1"/>
    </xf>
    <xf numFmtId="0" fontId="18" fillId="0" borderId="1" xfId="1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1"/>
    <cellStyle name="Обычный_tmp" xfId="2"/>
    <cellStyle name="Обычный_Tmp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workbookViewId="0">
      <selection activeCell="D6" sqref="D6"/>
    </sheetView>
  </sheetViews>
  <sheetFormatPr defaultRowHeight="12.75"/>
  <cols>
    <col min="1" max="1" width="21.140625" style="29" customWidth="1"/>
    <col min="2" max="2" width="37" style="36" customWidth="1"/>
    <col min="3" max="3" width="16.140625" style="39" customWidth="1"/>
    <col min="4" max="4" width="12.7109375" style="39" customWidth="1"/>
    <col min="5" max="5" width="11.140625" style="39" customWidth="1"/>
    <col min="9" max="9" width="0.42578125" customWidth="1"/>
    <col min="10" max="10" width="9.140625" hidden="1" customWidth="1"/>
    <col min="16" max="16" width="12.28515625" customWidth="1"/>
  </cols>
  <sheetData>
    <row r="1" spans="1:7">
      <c r="A1" s="37"/>
      <c r="B1" s="35"/>
      <c r="C1" s="38" t="s">
        <v>63</v>
      </c>
    </row>
    <row r="2" spans="1:7">
      <c r="A2" s="37"/>
      <c r="B2" s="35"/>
      <c r="C2" s="134" t="s">
        <v>412</v>
      </c>
      <c r="D2" s="134"/>
      <c r="E2" s="134"/>
      <c r="F2" s="134"/>
    </row>
    <row r="3" spans="1:7">
      <c r="A3" s="37"/>
      <c r="B3" s="35"/>
      <c r="C3" s="134" t="s">
        <v>108</v>
      </c>
      <c r="D3" s="134"/>
      <c r="E3" s="134"/>
      <c r="F3" s="134"/>
    </row>
    <row r="4" spans="1:7">
      <c r="A4" s="37"/>
      <c r="B4" s="35"/>
      <c r="C4" s="51" t="s">
        <v>363</v>
      </c>
    </row>
    <row r="5" spans="1:7">
      <c r="A5" s="37"/>
      <c r="B5" s="35"/>
      <c r="C5" s="58" t="s">
        <v>421</v>
      </c>
    </row>
    <row r="6" spans="1:7">
      <c r="A6" s="37"/>
      <c r="B6" s="35"/>
    </row>
    <row r="7" spans="1:7" ht="15.75">
      <c r="A7" s="133" t="s">
        <v>365</v>
      </c>
      <c r="B7" s="133"/>
      <c r="C7" s="133"/>
      <c r="D7" s="133"/>
      <c r="E7" s="133"/>
      <c r="F7" s="31"/>
      <c r="G7" s="31"/>
    </row>
    <row r="8" spans="1:7" ht="15.75">
      <c r="A8" s="133"/>
      <c r="B8" s="133"/>
      <c r="C8" s="133"/>
      <c r="D8" s="133"/>
      <c r="E8" s="133"/>
      <c r="F8" s="31"/>
      <c r="G8" s="31"/>
    </row>
    <row r="9" spans="1:7" ht="15.75">
      <c r="A9" s="133"/>
      <c r="B9" s="133"/>
      <c r="C9" s="133"/>
      <c r="D9" s="133"/>
      <c r="E9" s="133"/>
      <c r="F9" s="31"/>
      <c r="G9" s="31"/>
    </row>
    <row r="10" spans="1:7" s="30" customFormat="1" ht="25.5">
      <c r="A10" s="63" t="s">
        <v>273</v>
      </c>
      <c r="B10" s="59" t="s">
        <v>274</v>
      </c>
      <c r="C10" s="46" t="s">
        <v>141</v>
      </c>
      <c r="D10" s="63" t="s">
        <v>142</v>
      </c>
      <c r="E10" s="63" t="s">
        <v>107</v>
      </c>
    </row>
    <row r="11" spans="1:7" s="30" customFormat="1">
      <c r="A11" s="60" t="s">
        <v>31</v>
      </c>
      <c r="B11" s="60" t="s">
        <v>32</v>
      </c>
      <c r="C11" s="60" t="s">
        <v>33</v>
      </c>
      <c r="D11" s="60">
        <v>4</v>
      </c>
      <c r="E11" s="60">
        <v>5</v>
      </c>
    </row>
    <row r="12" spans="1:7" s="32" customFormat="1">
      <c r="A12" s="64" t="s">
        <v>275</v>
      </c>
      <c r="B12" s="62" t="s">
        <v>51</v>
      </c>
      <c r="C12" s="61">
        <f>C13+C18+C28+C31+C42+C45+C52</f>
        <v>12217964.27</v>
      </c>
      <c r="D12" s="61">
        <f>D13+D18+D28+D31+D42+D45+D52</f>
        <v>12327068.6</v>
      </c>
      <c r="E12" s="66">
        <f>D12/C12*100</f>
        <v>100.89298288641993</v>
      </c>
    </row>
    <row r="13" spans="1:7" s="30" customFormat="1">
      <c r="A13" s="64" t="s">
        <v>276</v>
      </c>
      <c r="B13" s="62" t="s">
        <v>52</v>
      </c>
      <c r="C13" s="61">
        <f>C14</f>
        <v>6600000</v>
      </c>
      <c r="D13" s="65">
        <f>D14</f>
        <v>6614916.8099999996</v>
      </c>
      <c r="E13" s="66">
        <f t="shared" ref="E13:E65" si="0">D13/C13*100</f>
        <v>100.22601227272727</v>
      </c>
    </row>
    <row r="14" spans="1:7" s="30" customFormat="1">
      <c r="A14" s="64" t="s">
        <v>277</v>
      </c>
      <c r="B14" s="62" t="s">
        <v>53</v>
      </c>
      <c r="C14" s="61">
        <f>C15+C16+C17</f>
        <v>6600000</v>
      </c>
      <c r="D14" s="61">
        <f>D15+D16+D17</f>
        <v>6614916.8099999996</v>
      </c>
      <c r="E14" s="66">
        <f t="shared" si="0"/>
        <v>100.22601227272727</v>
      </c>
    </row>
    <row r="15" spans="1:7" s="32" customFormat="1" ht="73.5">
      <c r="A15" s="64" t="s">
        <v>319</v>
      </c>
      <c r="B15" s="62" t="s">
        <v>69</v>
      </c>
      <c r="C15" s="61">
        <v>6560000</v>
      </c>
      <c r="D15" s="65">
        <v>6581654</v>
      </c>
      <c r="E15" s="66">
        <f t="shared" si="0"/>
        <v>100.33009146341463</v>
      </c>
    </row>
    <row r="16" spans="1:7" s="30" customFormat="1" ht="105">
      <c r="A16" s="64" t="s">
        <v>320</v>
      </c>
      <c r="B16" s="62" t="s">
        <v>132</v>
      </c>
      <c r="C16" s="61">
        <v>10000</v>
      </c>
      <c r="D16" s="65">
        <v>4816.6000000000004</v>
      </c>
      <c r="E16" s="66">
        <f t="shared" si="0"/>
        <v>48.166000000000004</v>
      </c>
    </row>
    <row r="17" spans="1:5" s="30" customFormat="1" ht="42">
      <c r="A17" s="64" t="s">
        <v>321</v>
      </c>
      <c r="B17" s="62" t="s">
        <v>70</v>
      </c>
      <c r="C17" s="61">
        <v>30000</v>
      </c>
      <c r="D17" s="65">
        <v>28446.21</v>
      </c>
      <c r="E17" s="66">
        <f t="shared" si="0"/>
        <v>94.820700000000002</v>
      </c>
    </row>
    <row r="18" spans="1:5" s="30" customFormat="1" ht="31.5">
      <c r="A18" s="64" t="s">
        <v>278</v>
      </c>
      <c r="B18" s="62" t="s">
        <v>109</v>
      </c>
      <c r="C18" s="61">
        <f>C19</f>
        <v>4246930</v>
      </c>
      <c r="D18" s="65">
        <f>D19</f>
        <v>4328579.55</v>
      </c>
      <c r="E18" s="66">
        <f t="shared" si="0"/>
        <v>101.92255464535558</v>
      </c>
    </row>
    <row r="19" spans="1:5" s="32" customFormat="1" ht="31.5">
      <c r="A19" s="64" t="s">
        <v>279</v>
      </c>
      <c r="B19" s="62" t="s">
        <v>110</v>
      </c>
      <c r="C19" s="61">
        <f>C20+C22+C24+C26</f>
        <v>4246930</v>
      </c>
      <c r="D19" s="61">
        <f>D20+D22+D24+D26</f>
        <v>4328579.55</v>
      </c>
      <c r="E19" s="66">
        <f t="shared" si="0"/>
        <v>101.92255464535558</v>
      </c>
    </row>
    <row r="20" spans="1:5" s="32" customFormat="1" ht="63">
      <c r="A20" s="64" t="s">
        <v>280</v>
      </c>
      <c r="B20" s="62" t="s">
        <v>111</v>
      </c>
      <c r="C20" s="61">
        <f>C21</f>
        <v>1954320</v>
      </c>
      <c r="D20" s="65">
        <f>D21</f>
        <v>1998330.26</v>
      </c>
      <c r="E20" s="66">
        <f t="shared" si="0"/>
        <v>102.25194748045357</v>
      </c>
    </row>
    <row r="21" spans="1:5" s="32" customFormat="1" ht="105">
      <c r="A21" s="64" t="s">
        <v>322</v>
      </c>
      <c r="B21" s="62" t="s">
        <v>281</v>
      </c>
      <c r="C21" s="61">
        <v>1954320</v>
      </c>
      <c r="D21" s="65">
        <v>1998330.26</v>
      </c>
      <c r="E21" s="66">
        <f t="shared" si="0"/>
        <v>102.25194748045357</v>
      </c>
    </row>
    <row r="22" spans="1:5" s="30" customFormat="1" ht="73.5">
      <c r="A22" s="64" t="s">
        <v>282</v>
      </c>
      <c r="B22" s="62" t="s">
        <v>112</v>
      </c>
      <c r="C22" s="61">
        <f>C23</f>
        <v>14110</v>
      </c>
      <c r="D22" s="65">
        <f>D23</f>
        <v>14053.72</v>
      </c>
      <c r="E22" s="66">
        <f t="shared" si="0"/>
        <v>99.601133947554928</v>
      </c>
    </row>
    <row r="23" spans="1:5" s="30" customFormat="1" ht="115.5">
      <c r="A23" s="64" t="s">
        <v>323</v>
      </c>
      <c r="B23" s="62" t="s">
        <v>283</v>
      </c>
      <c r="C23" s="61">
        <v>14110</v>
      </c>
      <c r="D23" s="65">
        <v>14053.72</v>
      </c>
      <c r="E23" s="66">
        <f t="shared" si="0"/>
        <v>99.601133947554928</v>
      </c>
    </row>
    <row r="24" spans="1:5" s="30" customFormat="1" ht="63">
      <c r="A24" s="64" t="s">
        <v>284</v>
      </c>
      <c r="B24" s="62" t="s">
        <v>113</v>
      </c>
      <c r="C24" s="61">
        <f>C25</f>
        <v>2600000</v>
      </c>
      <c r="D24" s="65">
        <f>D25</f>
        <v>2656962.19</v>
      </c>
      <c r="E24" s="66">
        <f t="shared" si="0"/>
        <v>102.19085346153847</v>
      </c>
    </row>
    <row r="25" spans="1:5" s="30" customFormat="1" ht="105">
      <c r="A25" s="64" t="s">
        <v>324</v>
      </c>
      <c r="B25" s="62" t="s">
        <v>285</v>
      </c>
      <c r="C25" s="61">
        <v>2600000</v>
      </c>
      <c r="D25" s="65">
        <v>2656962.19</v>
      </c>
      <c r="E25" s="66">
        <f t="shared" si="0"/>
        <v>102.19085346153847</v>
      </c>
    </row>
    <row r="26" spans="1:5" s="30" customFormat="1" ht="63">
      <c r="A26" s="64" t="s">
        <v>286</v>
      </c>
      <c r="B26" s="62" t="s">
        <v>114</v>
      </c>
      <c r="C26" s="61">
        <f>C27</f>
        <v>-321500</v>
      </c>
      <c r="D26" s="65">
        <f>D27</f>
        <v>-340766.62</v>
      </c>
      <c r="E26" s="66">
        <f t="shared" si="0"/>
        <v>105.99272783825818</v>
      </c>
    </row>
    <row r="27" spans="1:5" s="30" customFormat="1" ht="105">
      <c r="A27" s="64" t="s">
        <v>325</v>
      </c>
      <c r="B27" s="62" t="s">
        <v>287</v>
      </c>
      <c r="C27" s="61">
        <v>-321500</v>
      </c>
      <c r="D27" s="65">
        <v>-340766.62</v>
      </c>
      <c r="E27" s="66">
        <f t="shared" si="0"/>
        <v>105.99272783825818</v>
      </c>
    </row>
    <row r="28" spans="1:5" s="30" customFormat="1">
      <c r="A28" s="64" t="s">
        <v>288</v>
      </c>
      <c r="B28" s="62" t="s">
        <v>54</v>
      </c>
      <c r="C28" s="61">
        <f>C29</f>
        <v>38785.760000000002</v>
      </c>
      <c r="D28" s="65">
        <f>D29</f>
        <v>38785.760000000002</v>
      </c>
      <c r="E28" s="66">
        <f t="shared" si="0"/>
        <v>100</v>
      </c>
    </row>
    <row r="29" spans="1:5" s="30" customFormat="1" ht="21">
      <c r="A29" s="64" t="s">
        <v>289</v>
      </c>
      <c r="B29" s="62" t="s">
        <v>39</v>
      </c>
      <c r="C29" s="61">
        <f>C30</f>
        <v>38785.760000000002</v>
      </c>
      <c r="D29" s="65">
        <f>D30</f>
        <v>38785.760000000002</v>
      </c>
      <c r="E29" s="66">
        <f t="shared" si="0"/>
        <v>100</v>
      </c>
    </row>
    <row r="30" spans="1:5" s="32" customFormat="1" ht="21">
      <c r="A30" s="64" t="s">
        <v>290</v>
      </c>
      <c r="B30" s="62" t="s">
        <v>39</v>
      </c>
      <c r="C30" s="61">
        <v>38785.760000000002</v>
      </c>
      <c r="D30" s="65">
        <v>38785.760000000002</v>
      </c>
      <c r="E30" s="66">
        <f t="shared" si="0"/>
        <v>100</v>
      </c>
    </row>
    <row r="31" spans="1:5" s="30" customFormat="1">
      <c r="A31" s="64" t="s">
        <v>291</v>
      </c>
      <c r="B31" s="62" t="s">
        <v>55</v>
      </c>
      <c r="C31" s="61">
        <f>C32+C34+C37</f>
        <v>591411.4</v>
      </c>
      <c r="D31" s="61">
        <f>D32+D34+D37</f>
        <v>601721.85000000009</v>
      </c>
      <c r="E31" s="66">
        <f t="shared" si="0"/>
        <v>101.74336341842583</v>
      </c>
    </row>
    <row r="32" spans="1:5" s="30" customFormat="1">
      <c r="A32" s="64" t="s">
        <v>292</v>
      </c>
      <c r="B32" s="62" t="s">
        <v>56</v>
      </c>
      <c r="C32" s="61">
        <f>C33</f>
        <v>255735.5</v>
      </c>
      <c r="D32" s="61">
        <f>D33</f>
        <v>259266.04</v>
      </c>
      <c r="E32" s="66">
        <f t="shared" si="0"/>
        <v>101.38054356943013</v>
      </c>
    </row>
    <row r="33" spans="1:5" s="30" customFormat="1" ht="42">
      <c r="A33" s="64" t="s">
        <v>327</v>
      </c>
      <c r="B33" s="62" t="s">
        <v>85</v>
      </c>
      <c r="C33" s="61">
        <v>255735.5</v>
      </c>
      <c r="D33" s="65">
        <v>259266.04</v>
      </c>
      <c r="E33" s="66">
        <f t="shared" si="0"/>
        <v>101.38054356943013</v>
      </c>
    </row>
    <row r="34" spans="1:5" s="30" customFormat="1">
      <c r="A34" s="64" t="s">
        <v>293</v>
      </c>
      <c r="B34" s="62" t="s">
        <v>143</v>
      </c>
      <c r="C34" s="61">
        <f>C35+C36</f>
        <v>87700</v>
      </c>
      <c r="D34" s="61">
        <f>D35+D36</f>
        <v>93519.609999999986</v>
      </c>
      <c r="E34" s="66">
        <f t="shared" si="0"/>
        <v>106.63581527936144</v>
      </c>
    </row>
    <row r="35" spans="1:5" s="30" customFormat="1">
      <c r="A35" s="64" t="s">
        <v>328</v>
      </c>
      <c r="B35" s="62" t="s">
        <v>144</v>
      </c>
      <c r="C35" s="61">
        <v>16000</v>
      </c>
      <c r="D35" s="65">
        <v>18466.349999999999</v>
      </c>
      <c r="E35" s="66">
        <f t="shared" si="0"/>
        <v>115.41468749999999</v>
      </c>
    </row>
    <row r="36" spans="1:5" s="30" customFormat="1">
      <c r="A36" s="64" t="s">
        <v>329</v>
      </c>
      <c r="B36" s="62" t="s">
        <v>145</v>
      </c>
      <c r="C36" s="61">
        <v>71700</v>
      </c>
      <c r="D36" s="65">
        <v>75053.259999999995</v>
      </c>
      <c r="E36" s="66">
        <f t="shared" si="0"/>
        <v>104.6767921896792</v>
      </c>
    </row>
    <row r="37" spans="1:5" s="30" customFormat="1">
      <c r="A37" s="64" t="s">
        <v>294</v>
      </c>
      <c r="B37" s="62" t="s">
        <v>57</v>
      </c>
      <c r="C37" s="61">
        <f>C38+C40</f>
        <v>247975.9</v>
      </c>
      <c r="D37" s="61">
        <f>D38+D40</f>
        <v>248936.2</v>
      </c>
      <c r="E37" s="66">
        <f t="shared" si="0"/>
        <v>100.3872553744134</v>
      </c>
    </row>
    <row r="38" spans="1:5" s="30" customFormat="1">
      <c r="A38" s="64" t="s">
        <v>295</v>
      </c>
      <c r="B38" s="62" t="s">
        <v>71</v>
      </c>
      <c r="C38" s="61">
        <f>C39</f>
        <v>177949.12</v>
      </c>
      <c r="D38" s="61">
        <f>D39</f>
        <v>177949.12</v>
      </c>
      <c r="E38" s="66">
        <f t="shared" si="0"/>
        <v>100</v>
      </c>
    </row>
    <row r="39" spans="1:5" ht="31.5">
      <c r="A39" s="64" t="s">
        <v>330</v>
      </c>
      <c r="B39" s="62" t="s">
        <v>72</v>
      </c>
      <c r="C39" s="61">
        <v>177949.12</v>
      </c>
      <c r="D39" s="65">
        <v>177949.12</v>
      </c>
      <c r="E39" s="66">
        <f t="shared" si="0"/>
        <v>100</v>
      </c>
    </row>
    <row r="40" spans="1:5">
      <c r="A40" s="64" t="s">
        <v>296</v>
      </c>
      <c r="B40" s="62" t="s">
        <v>73</v>
      </c>
      <c r="C40" s="61">
        <f>C41</f>
        <v>70026.78</v>
      </c>
      <c r="D40" s="61">
        <f>D41</f>
        <v>70987.08</v>
      </c>
      <c r="E40" s="66">
        <f t="shared" si="0"/>
        <v>101.37133251021966</v>
      </c>
    </row>
    <row r="41" spans="1:5" ht="31.5">
      <c r="A41" s="64" t="s">
        <v>331</v>
      </c>
      <c r="B41" s="62" t="s">
        <v>74</v>
      </c>
      <c r="C41" s="61">
        <v>70026.78</v>
      </c>
      <c r="D41" s="65">
        <v>70987.08</v>
      </c>
      <c r="E41" s="66">
        <f t="shared" si="0"/>
        <v>101.37133251021966</v>
      </c>
    </row>
    <row r="42" spans="1:5">
      <c r="A42" s="64" t="s">
        <v>297</v>
      </c>
      <c r="B42" s="62" t="s">
        <v>58</v>
      </c>
      <c r="C42" s="61">
        <f>C43</f>
        <v>20360</v>
      </c>
      <c r="D42" s="61">
        <f>D43</f>
        <v>20560</v>
      </c>
      <c r="E42" s="66">
        <f t="shared" si="0"/>
        <v>100.98231827111985</v>
      </c>
    </row>
    <row r="43" spans="1:5" ht="42">
      <c r="A43" s="64" t="s">
        <v>298</v>
      </c>
      <c r="B43" s="62" t="s">
        <v>59</v>
      </c>
      <c r="C43" s="61">
        <f>C44</f>
        <v>20360</v>
      </c>
      <c r="D43" s="61">
        <f>D44</f>
        <v>20560</v>
      </c>
      <c r="E43" s="66">
        <f t="shared" si="0"/>
        <v>100.98231827111985</v>
      </c>
    </row>
    <row r="44" spans="1:5" ht="73.5">
      <c r="A44" s="64" t="s">
        <v>332</v>
      </c>
      <c r="B44" s="62" t="s">
        <v>50</v>
      </c>
      <c r="C44" s="61">
        <v>20360</v>
      </c>
      <c r="D44" s="65">
        <v>20560</v>
      </c>
      <c r="E44" s="66">
        <f t="shared" si="0"/>
        <v>100.98231827111985</v>
      </c>
    </row>
    <row r="45" spans="1:5" ht="31.5">
      <c r="A45" s="64" t="s">
        <v>299</v>
      </c>
      <c r="B45" s="62" t="s">
        <v>60</v>
      </c>
      <c r="C45" s="61">
        <f>C46+C49</f>
        <v>620477.11</v>
      </c>
      <c r="D45" s="61">
        <f>D46+D49</f>
        <v>622504.63</v>
      </c>
      <c r="E45" s="66">
        <f t="shared" si="0"/>
        <v>100.32676789640153</v>
      </c>
    </row>
    <row r="46" spans="1:5" ht="84">
      <c r="A46" s="64" t="s">
        <v>300</v>
      </c>
      <c r="B46" s="62" t="s">
        <v>75</v>
      </c>
      <c r="C46" s="61">
        <f>C47</f>
        <v>180312.49</v>
      </c>
      <c r="D46" s="61">
        <f>D47</f>
        <v>180312.49</v>
      </c>
      <c r="E46" s="66">
        <f t="shared" si="0"/>
        <v>100</v>
      </c>
    </row>
    <row r="47" spans="1:5" ht="73.5">
      <c r="A47" s="64" t="s">
        <v>301</v>
      </c>
      <c r="B47" s="62" t="s">
        <v>76</v>
      </c>
      <c r="C47" s="61">
        <f>C48</f>
        <v>180312.49</v>
      </c>
      <c r="D47" s="61">
        <f>D48</f>
        <v>180312.49</v>
      </c>
      <c r="E47" s="66">
        <f t="shared" si="0"/>
        <v>100</v>
      </c>
    </row>
    <row r="48" spans="1:5" ht="63">
      <c r="A48" s="64" t="s">
        <v>333</v>
      </c>
      <c r="B48" s="62" t="s">
        <v>77</v>
      </c>
      <c r="C48" s="61">
        <v>180312.49</v>
      </c>
      <c r="D48" s="65">
        <v>180312.49</v>
      </c>
      <c r="E48" s="66">
        <f t="shared" si="0"/>
        <v>100</v>
      </c>
    </row>
    <row r="49" spans="1:5" ht="73.5">
      <c r="A49" s="64" t="s">
        <v>302</v>
      </c>
      <c r="B49" s="62" t="s">
        <v>86</v>
      </c>
      <c r="C49" s="61">
        <f>C50</f>
        <v>440164.62</v>
      </c>
      <c r="D49" s="61">
        <f>D50</f>
        <v>442192.14</v>
      </c>
      <c r="E49" s="66">
        <f t="shared" si="0"/>
        <v>100.4606276624414</v>
      </c>
    </row>
    <row r="50" spans="1:5" ht="73.5">
      <c r="A50" s="64" t="s">
        <v>303</v>
      </c>
      <c r="B50" s="62" t="s">
        <v>87</v>
      </c>
      <c r="C50" s="61">
        <f>C51</f>
        <v>440164.62</v>
      </c>
      <c r="D50" s="61">
        <f>D51</f>
        <v>442192.14</v>
      </c>
      <c r="E50" s="66">
        <f t="shared" si="0"/>
        <v>100.4606276624414</v>
      </c>
    </row>
    <row r="51" spans="1:5" ht="73.5">
      <c r="A51" s="64" t="s">
        <v>334</v>
      </c>
      <c r="B51" s="62" t="s">
        <v>88</v>
      </c>
      <c r="C51" s="61">
        <v>440164.62</v>
      </c>
      <c r="D51" s="65">
        <v>442192.14</v>
      </c>
      <c r="E51" s="66">
        <f t="shared" si="0"/>
        <v>100.4606276624414</v>
      </c>
    </row>
    <row r="52" spans="1:5" ht="21">
      <c r="A52" s="64" t="s">
        <v>304</v>
      </c>
      <c r="B52" s="62" t="s">
        <v>305</v>
      </c>
      <c r="C52" s="61">
        <f t="shared" ref="C52:D54" si="1">C53</f>
        <v>100000</v>
      </c>
      <c r="D52" s="65">
        <f t="shared" si="1"/>
        <v>100000</v>
      </c>
      <c r="E52" s="66">
        <f t="shared" si="0"/>
        <v>100</v>
      </c>
    </row>
    <row r="53" spans="1:5">
      <c r="A53" s="64" t="s">
        <v>306</v>
      </c>
      <c r="B53" s="62" t="s">
        <v>78</v>
      </c>
      <c r="C53" s="61">
        <f t="shared" si="1"/>
        <v>100000</v>
      </c>
      <c r="D53" s="65">
        <f t="shared" si="1"/>
        <v>100000</v>
      </c>
      <c r="E53" s="66">
        <f t="shared" si="0"/>
        <v>100</v>
      </c>
    </row>
    <row r="54" spans="1:5" ht="21">
      <c r="A54" s="64" t="s">
        <v>307</v>
      </c>
      <c r="B54" s="62" t="s">
        <v>79</v>
      </c>
      <c r="C54" s="61">
        <f t="shared" si="1"/>
        <v>100000</v>
      </c>
      <c r="D54" s="65">
        <f t="shared" si="1"/>
        <v>100000</v>
      </c>
      <c r="E54" s="66">
        <f t="shared" si="0"/>
        <v>100</v>
      </c>
    </row>
    <row r="55" spans="1:5" ht="31.5">
      <c r="A55" s="64" t="s">
        <v>335</v>
      </c>
      <c r="B55" s="62" t="s">
        <v>89</v>
      </c>
      <c r="C55" s="61">
        <v>100000</v>
      </c>
      <c r="D55" s="65">
        <v>100000</v>
      </c>
      <c r="E55" s="66">
        <f t="shared" si="0"/>
        <v>100</v>
      </c>
    </row>
    <row r="56" spans="1:5">
      <c r="A56" s="64" t="s">
        <v>308</v>
      </c>
      <c r="B56" s="62" t="s">
        <v>61</v>
      </c>
      <c r="C56" s="65">
        <f>C57</f>
        <v>44889353.659999996</v>
      </c>
      <c r="D56" s="65">
        <f>D57</f>
        <v>44888372.18</v>
      </c>
      <c r="E56" s="66">
        <f t="shared" si="0"/>
        <v>99.997813557291494</v>
      </c>
    </row>
    <row r="57" spans="1:5" ht="31.5">
      <c r="A57" s="64" t="s">
        <v>309</v>
      </c>
      <c r="B57" s="62" t="s">
        <v>62</v>
      </c>
      <c r="C57" s="65">
        <f>C58+C61+C68</f>
        <v>44889353.659999996</v>
      </c>
      <c r="D57" s="65">
        <f>D58+D61+D68</f>
        <v>44888372.18</v>
      </c>
      <c r="E57" s="66">
        <f t="shared" si="0"/>
        <v>99.997813557291494</v>
      </c>
    </row>
    <row r="58" spans="1:5" ht="21">
      <c r="A58" s="64" t="s">
        <v>310</v>
      </c>
      <c r="B58" s="62" t="s">
        <v>91</v>
      </c>
      <c r="C58" s="65">
        <f>C59</f>
        <v>33396000</v>
      </c>
      <c r="D58" s="65">
        <f>D59</f>
        <v>33396000</v>
      </c>
      <c r="E58" s="66">
        <f t="shared" si="0"/>
        <v>100</v>
      </c>
    </row>
    <row r="59" spans="1:5" ht="21">
      <c r="A59" s="64" t="s">
        <v>311</v>
      </c>
      <c r="B59" s="62" t="s">
        <v>22</v>
      </c>
      <c r="C59" s="61">
        <f>C60</f>
        <v>33396000</v>
      </c>
      <c r="D59" s="65">
        <f>D60</f>
        <v>33396000</v>
      </c>
      <c r="E59" s="66">
        <f t="shared" si="0"/>
        <v>100</v>
      </c>
    </row>
    <row r="60" spans="1:5" ht="31.5">
      <c r="A60" s="64" t="s">
        <v>336</v>
      </c>
      <c r="B60" s="62" t="s">
        <v>312</v>
      </c>
      <c r="C60" s="61">
        <v>33396000</v>
      </c>
      <c r="D60" s="65">
        <v>33396000</v>
      </c>
      <c r="E60" s="66">
        <f t="shared" si="0"/>
        <v>100</v>
      </c>
    </row>
    <row r="61" spans="1:5" ht="21">
      <c r="A61" s="64" t="s">
        <v>313</v>
      </c>
      <c r="B61" s="62" t="s">
        <v>92</v>
      </c>
      <c r="C61" s="61">
        <f>C62+C66+C64</f>
        <v>537459.57999999996</v>
      </c>
      <c r="D61" s="61">
        <f>D62+D66+D64</f>
        <v>537459.57999999996</v>
      </c>
      <c r="E61" s="66">
        <f t="shared" si="0"/>
        <v>100</v>
      </c>
    </row>
    <row r="62" spans="1:5" ht="31.5">
      <c r="A62" s="64" t="s">
        <v>314</v>
      </c>
      <c r="B62" s="62" t="s">
        <v>119</v>
      </c>
      <c r="C62" s="61">
        <f>C63</f>
        <v>19685.71</v>
      </c>
      <c r="D62" s="61">
        <f>D63</f>
        <v>19685.71</v>
      </c>
      <c r="E62" s="66">
        <f t="shared" si="0"/>
        <v>100</v>
      </c>
    </row>
    <row r="63" spans="1:5" ht="31.5">
      <c r="A63" s="64" t="s">
        <v>337</v>
      </c>
      <c r="B63" s="62" t="s">
        <v>133</v>
      </c>
      <c r="C63" s="61">
        <v>19685.71</v>
      </c>
      <c r="D63" s="65">
        <v>19685.71</v>
      </c>
      <c r="E63" s="66">
        <f t="shared" si="0"/>
        <v>100</v>
      </c>
    </row>
    <row r="64" spans="1:5" ht="31.5">
      <c r="A64" s="64" t="s">
        <v>315</v>
      </c>
      <c r="B64" s="62" t="s">
        <v>24</v>
      </c>
      <c r="C64" s="61">
        <f>C65</f>
        <v>466400</v>
      </c>
      <c r="D64" s="61">
        <f>D65</f>
        <v>466400</v>
      </c>
      <c r="E64" s="66">
        <f t="shared" si="0"/>
        <v>100</v>
      </c>
    </row>
    <row r="65" spans="1:5" ht="42">
      <c r="A65" s="64" t="s">
        <v>338</v>
      </c>
      <c r="B65" s="62" t="s">
        <v>81</v>
      </c>
      <c r="C65" s="61">
        <v>466400</v>
      </c>
      <c r="D65" s="65">
        <v>466400</v>
      </c>
      <c r="E65" s="66">
        <f t="shared" si="0"/>
        <v>100</v>
      </c>
    </row>
    <row r="66" spans="1:5" ht="21">
      <c r="A66" s="64" t="s">
        <v>316</v>
      </c>
      <c r="B66" s="62" t="s">
        <v>23</v>
      </c>
      <c r="C66" s="61">
        <f>C67</f>
        <v>51373.87</v>
      </c>
      <c r="D66" s="61">
        <f>D67</f>
        <v>51373.87</v>
      </c>
      <c r="E66" s="66">
        <f t="shared" ref="E66:E71" si="2">D66/C66*100</f>
        <v>100</v>
      </c>
    </row>
    <row r="67" spans="1:5" ht="31.5">
      <c r="A67" s="64" t="s">
        <v>339</v>
      </c>
      <c r="B67" s="62" t="s">
        <v>80</v>
      </c>
      <c r="C67" s="61">
        <v>51373.87</v>
      </c>
      <c r="D67" s="65">
        <v>51373.87</v>
      </c>
      <c r="E67" s="66">
        <f t="shared" si="2"/>
        <v>100</v>
      </c>
    </row>
    <row r="68" spans="1:5">
      <c r="A68" s="64" t="s">
        <v>317</v>
      </c>
      <c r="B68" s="62" t="s">
        <v>25</v>
      </c>
      <c r="C68" s="61">
        <f>C70</f>
        <v>10955894.08</v>
      </c>
      <c r="D68" s="65">
        <f>D69</f>
        <v>10954912.6</v>
      </c>
      <c r="E68" s="66">
        <f t="shared" si="2"/>
        <v>99.991041534421257</v>
      </c>
    </row>
    <row r="69" spans="1:5" ht="21">
      <c r="A69" s="64" t="s">
        <v>318</v>
      </c>
      <c r="B69" s="62" t="s">
        <v>26</v>
      </c>
      <c r="C69" s="61">
        <f>C70</f>
        <v>10955894.08</v>
      </c>
      <c r="D69" s="65">
        <f>D70</f>
        <v>10954912.6</v>
      </c>
      <c r="E69" s="66">
        <f t="shared" si="2"/>
        <v>99.991041534421257</v>
      </c>
    </row>
    <row r="70" spans="1:5" ht="21">
      <c r="A70" s="64" t="s">
        <v>340</v>
      </c>
      <c r="B70" s="62" t="s">
        <v>82</v>
      </c>
      <c r="C70" s="61">
        <v>10955894.08</v>
      </c>
      <c r="D70" s="65">
        <v>10954912.6</v>
      </c>
      <c r="E70" s="66">
        <f t="shared" si="2"/>
        <v>99.991041534421257</v>
      </c>
    </row>
    <row r="71" spans="1:5">
      <c r="A71" s="62" t="s">
        <v>37</v>
      </c>
      <c r="B71" s="62"/>
      <c r="C71" s="61">
        <f>C56+C12</f>
        <v>57107317.929999992</v>
      </c>
      <c r="D71" s="61">
        <f>D56+D12</f>
        <v>57215440.780000001</v>
      </c>
      <c r="E71" s="66">
        <f t="shared" si="2"/>
        <v>100.18933274038983</v>
      </c>
    </row>
    <row r="72" spans="1:5">
      <c r="A72"/>
      <c r="B72"/>
      <c r="C72"/>
      <c r="D72"/>
      <c r="E72"/>
    </row>
  </sheetData>
  <mergeCells count="3">
    <mergeCell ref="A7:E9"/>
    <mergeCell ref="C2:F2"/>
    <mergeCell ref="C3:F3"/>
  </mergeCells>
  <phoneticPr fontId="7" type="noConversion"/>
  <pageMargins left="0.75" right="0.11" top="0.52" bottom="0.53" header="0.5" footer="0.5"/>
  <pageSetup paperSize="9" scale="86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Normal="115" workbookViewId="0">
      <selection activeCell="C5" sqref="C5:E5"/>
    </sheetView>
  </sheetViews>
  <sheetFormatPr defaultRowHeight="12.75"/>
  <cols>
    <col min="1" max="1" width="24" style="30" customWidth="1"/>
    <col min="2" max="2" width="31.42578125" style="30" customWidth="1"/>
    <col min="3" max="3" width="13.5703125" style="47" customWidth="1"/>
    <col min="4" max="4" width="12.85546875" style="47" customWidth="1"/>
    <col min="5" max="5" width="18.140625" style="33" customWidth="1"/>
    <col min="6" max="6" width="25.28515625" style="30" customWidth="1"/>
    <col min="7" max="7" width="59.140625" style="30" customWidth="1"/>
    <col min="8" max="8" width="11.85546875" customWidth="1"/>
    <col min="9" max="9" width="20.85546875" customWidth="1"/>
  </cols>
  <sheetData>
    <row r="1" spans="1:14" s="28" customFormat="1">
      <c r="A1" s="27"/>
      <c r="B1" s="27"/>
      <c r="C1" s="48"/>
      <c r="D1" s="48"/>
      <c r="E1" s="26" t="s">
        <v>90</v>
      </c>
    </row>
    <row r="2" spans="1:14" s="28" customFormat="1">
      <c r="A2" s="27"/>
      <c r="B2" s="27"/>
      <c r="C2" s="49"/>
      <c r="D2" s="68" t="s">
        <v>412</v>
      </c>
      <c r="E2" s="68"/>
      <c r="F2" s="68"/>
      <c r="G2" s="68"/>
      <c r="N2" s="26"/>
    </row>
    <row r="3" spans="1:14" s="28" customFormat="1">
      <c r="A3" s="27"/>
      <c r="B3" s="27"/>
      <c r="C3" s="49"/>
      <c r="D3" s="68" t="s">
        <v>108</v>
      </c>
      <c r="E3" s="68"/>
      <c r="F3" s="68"/>
      <c r="G3" s="68"/>
      <c r="N3" s="26"/>
    </row>
    <row r="4" spans="1:14" s="28" customFormat="1">
      <c r="A4" s="27"/>
      <c r="B4" s="27"/>
      <c r="C4" s="49"/>
      <c r="D4" s="51" t="s">
        <v>363</v>
      </c>
      <c r="E4" s="39"/>
      <c r="F4" s="39"/>
      <c r="G4"/>
      <c r="N4" s="26"/>
    </row>
    <row r="5" spans="1:14" s="28" customFormat="1">
      <c r="A5" s="27"/>
      <c r="B5" s="27"/>
      <c r="C5" s="49"/>
      <c r="D5" s="39" t="str">
        <f>прил.1!C5</f>
        <v>от  29.04.2022г.  № 206</v>
      </c>
      <c r="E5" s="39"/>
      <c r="F5" s="39"/>
      <c r="G5"/>
      <c r="N5" s="26"/>
    </row>
    <row r="6" spans="1:14" s="28" customFormat="1" ht="54" customHeight="1">
      <c r="A6" s="135" t="s">
        <v>418</v>
      </c>
      <c r="B6" s="135"/>
      <c r="C6" s="135"/>
      <c r="D6" s="135"/>
      <c r="E6" s="135"/>
      <c r="F6" s="40"/>
      <c r="G6" s="40"/>
    </row>
    <row r="7" spans="1:14" s="30" customFormat="1">
      <c r="C7" s="47"/>
      <c r="D7" s="47"/>
      <c r="E7" s="33"/>
    </row>
    <row r="8" spans="1:14" s="30" customFormat="1" ht="25.5">
      <c r="A8" s="63" t="s">
        <v>273</v>
      </c>
      <c r="B8" s="59" t="s">
        <v>274</v>
      </c>
      <c r="C8" s="46" t="s">
        <v>141</v>
      </c>
      <c r="D8" s="63" t="s">
        <v>142</v>
      </c>
      <c r="E8" s="63" t="s">
        <v>107</v>
      </c>
    </row>
    <row r="9" spans="1:14" s="30" customFormat="1">
      <c r="A9" s="60" t="s">
        <v>31</v>
      </c>
      <c r="B9" s="60" t="s">
        <v>32</v>
      </c>
      <c r="C9" s="60" t="s">
        <v>33</v>
      </c>
      <c r="D9" s="60">
        <v>4</v>
      </c>
      <c r="E9" s="60">
        <v>5</v>
      </c>
    </row>
    <row r="10" spans="1:14" s="54" customFormat="1">
      <c r="A10" s="64" t="s">
        <v>275</v>
      </c>
      <c r="B10" s="62" t="s">
        <v>51</v>
      </c>
      <c r="C10" s="61">
        <f>C11+C16+C26+C29+C40+C43+C50</f>
        <v>12217964.27</v>
      </c>
      <c r="D10" s="61">
        <f>D11+D16+D26+D29+D40+D43+D50</f>
        <v>12327068.6</v>
      </c>
      <c r="E10" s="66">
        <f>D10/C10*100</f>
        <v>100.89298288641993</v>
      </c>
    </row>
    <row r="11" spans="1:14" s="54" customFormat="1">
      <c r="A11" s="64" t="s">
        <v>276</v>
      </c>
      <c r="B11" s="62" t="s">
        <v>52</v>
      </c>
      <c r="C11" s="61">
        <f>C12</f>
        <v>6600000</v>
      </c>
      <c r="D11" s="65">
        <f>D12</f>
        <v>6614916.8099999996</v>
      </c>
      <c r="E11" s="66">
        <f t="shared" ref="E11:E63" si="0">D11/C11*100</f>
        <v>100.22601227272727</v>
      </c>
    </row>
    <row r="12" spans="1:14" s="55" customFormat="1">
      <c r="A12" s="64" t="s">
        <v>277</v>
      </c>
      <c r="B12" s="62" t="s">
        <v>53</v>
      </c>
      <c r="C12" s="61">
        <f>C13+C14+C15</f>
        <v>6600000</v>
      </c>
      <c r="D12" s="61">
        <f>D13+D14+D15</f>
        <v>6614916.8099999996</v>
      </c>
      <c r="E12" s="66">
        <f t="shared" si="0"/>
        <v>100.22601227272727</v>
      </c>
    </row>
    <row r="13" spans="1:14" s="55" customFormat="1" ht="84">
      <c r="A13" s="64" t="s">
        <v>319</v>
      </c>
      <c r="B13" s="62" t="s">
        <v>69</v>
      </c>
      <c r="C13" s="61">
        <v>6560000</v>
      </c>
      <c r="D13" s="65">
        <v>6581654</v>
      </c>
      <c r="E13" s="66">
        <f t="shared" si="0"/>
        <v>100.33009146341463</v>
      </c>
    </row>
    <row r="14" spans="1:14" s="55" customFormat="1" ht="136.5">
      <c r="A14" s="64" t="s">
        <v>320</v>
      </c>
      <c r="B14" s="62" t="s">
        <v>132</v>
      </c>
      <c r="C14" s="61">
        <v>10000</v>
      </c>
      <c r="D14" s="65">
        <v>4816.6000000000004</v>
      </c>
      <c r="E14" s="66">
        <f t="shared" si="0"/>
        <v>48.166000000000004</v>
      </c>
    </row>
    <row r="15" spans="1:14" s="55" customFormat="1" ht="52.5">
      <c r="A15" s="64" t="s">
        <v>321</v>
      </c>
      <c r="B15" s="62" t="s">
        <v>70</v>
      </c>
      <c r="C15" s="61">
        <v>30000</v>
      </c>
      <c r="D15" s="65">
        <v>28446.21</v>
      </c>
      <c r="E15" s="66">
        <f t="shared" si="0"/>
        <v>94.820700000000002</v>
      </c>
    </row>
    <row r="16" spans="1:14" s="55" customFormat="1" ht="31.5">
      <c r="A16" s="64" t="s">
        <v>278</v>
      </c>
      <c r="B16" s="62" t="s">
        <v>109</v>
      </c>
      <c r="C16" s="61">
        <f>C17</f>
        <v>4246930</v>
      </c>
      <c r="D16" s="65">
        <f>D17</f>
        <v>4328579.55</v>
      </c>
      <c r="E16" s="66">
        <f t="shared" si="0"/>
        <v>101.92255464535558</v>
      </c>
    </row>
    <row r="17" spans="1:5" s="55" customFormat="1" ht="31.5">
      <c r="A17" s="64" t="s">
        <v>279</v>
      </c>
      <c r="B17" s="62" t="s">
        <v>110</v>
      </c>
      <c r="C17" s="61">
        <f>C18+C20+C22+C24</f>
        <v>4246930</v>
      </c>
      <c r="D17" s="61">
        <f>D18+D20+D22+D24</f>
        <v>4328579.55</v>
      </c>
      <c r="E17" s="66">
        <f t="shared" si="0"/>
        <v>101.92255464535558</v>
      </c>
    </row>
    <row r="18" spans="1:5" s="54" customFormat="1" ht="84">
      <c r="A18" s="64" t="s">
        <v>280</v>
      </c>
      <c r="B18" s="62" t="s">
        <v>111</v>
      </c>
      <c r="C18" s="61">
        <f>C19</f>
        <v>1954320</v>
      </c>
      <c r="D18" s="65">
        <f>D19</f>
        <v>1998330.26</v>
      </c>
      <c r="E18" s="66">
        <f t="shared" si="0"/>
        <v>102.25194748045357</v>
      </c>
    </row>
    <row r="19" spans="1:5" s="54" customFormat="1" ht="126">
      <c r="A19" s="64" t="s">
        <v>322</v>
      </c>
      <c r="B19" s="62" t="s">
        <v>281</v>
      </c>
      <c r="C19" s="61">
        <v>1954320</v>
      </c>
      <c r="D19" s="65">
        <v>1998330.26</v>
      </c>
      <c r="E19" s="66">
        <f t="shared" si="0"/>
        <v>102.25194748045357</v>
      </c>
    </row>
    <row r="20" spans="1:5" s="54" customFormat="1" ht="105">
      <c r="A20" s="64" t="s">
        <v>282</v>
      </c>
      <c r="B20" s="62" t="s">
        <v>112</v>
      </c>
      <c r="C20" s="61">
        <f>C21</f>
        <v>14110</v>
      </c>
      <c r="D20" s="65">
        <f>D21</f>
        <v>14053.72</v>
      </c>
      <c r="E20" s="66">
        <f t="shared" si="0"/>
        <v>99.601133947554928</v>
      </c>
    </row>
    <row r="21" spans="1:5" s="30" customFormat="1" ht="147">
      <c r="A21" s="64" t="s">
        <v>323</v>
      </c>
      <c r="B21" s="62" t="s">
        <v>283</v>
      </c>
      <c r="C21" s="61">
        <v>14110</v>
      </c>
      <c r="D21" s="65">
        <v>14053.72</v>
      </c>
      <c r="E21" s="66">
        <f t="shared" si="0"/>
        <v>99.601133947554928</v>
      </c>
    </row>
    <row r="22" spans="1:5" s="30" customFormat="1" ht="84">
      <c r="A22" s="64" t="s">
        <v>284</v>
      </c>
      <c r="B22" s="62" t="s">
        <v>113</v>
      </c>
      <c r="C22" s="61">
        <f>C23</f>
        <v>2600000</v>
      </c>
      <c r="D22" s="65">
        <f>D23</f>
        <v>2656962.19</v>
      </c>
      <c r="E22" s="66">
        <f t="shared" si="0"/>
        <v>102.19085346153847</v>
      </c>
    </row>
    <row r="23" spans="1:5" s="30" customFormat="1" ht="126">
      <c r="A23" s="64" t="s">
        <v>324</v>
      </c>
      <c r="B23" s="62" t="s">
        <v>285</v>
      </c>
      <c r="C23" s="61">
        <v>2600000</v>
      </c>
      <c r="D23" s="65">
        <v>2656962.19</v>
      </c>
      <c r="E23" s="66">
        <f t="shared" si="0"/>
        <v>102.19085346153847</v>
      </c>
    </row>
    <row r="24" spans="1:5" s="30" customFormat="1" ht="84">
      <c r="A24" s="64" t="s">
        <v>286</v>
      </c>
      <c r="B24" s="62" t="s">
        <v>114</v>
      </c>
      <c r="C24" s="61">
        <f>C25</f>
        <v>-321500</v>
      </c>
      <c r="D24" s="65">
        <f>D25</f>
        <v>-340766.62</v>
      </c>
      <c r="E24" s="66">
        <f t="shared" si="0"/>
        <v>105.99272783825818</v>
      </c>
    </row>
    <row r="25" spans="1:5" s="30" customFormat="1" ht="126">
      <c r="A25" s="64" t="s">
        <v>325</v>
      </c>
      <c r="B25" s="62" t="s">
        <v>287</v>
      </c>
      <c r="C25" s="61">
        <v>-321500</v>
      </c>
      <c r="D25" s="65">
        <v>-340766.62</v>
      </c>
      <c r="E25" s="66">
        <f t="shared" si="0"/>
        <v>105.99272783825818</v>
      </c>
    </row>
    <row r="26" spans="1:5" s="30" customFormat="1">
      <c r="A26" s="64" t="s">
        <v>288</v>
      </c>
      <c r="B26" s="62" t="s">
        <v>54</v>
      </c>
      <c r="C26" s="61">
        <f>C27</f>
        <v>38785.760000000002</v>
      </c>
      <c r="D26" s="65">
        <f>D27</f>
        <v>38785.760000000002</v>
      </c>
      <c r="E26" s="66">
        <f t="shared" si="0"/>
        <v>100</v>
      </c>
    </row>
    <row r="27" spans="1:5" s="30" customFormat="1" ht="21">
      <c r="A27" s="64" t="s">
        <v>289</v>
      </c>
      <c r="B27" s="62" t="s">
        <v>39</v>
      </c>
      <c r="C27" s="61">
        <f>C28</f>
        <v>38785.760000000002</v>
      </c>
      <c r="D27" s="65">
        <f>D28</f>
        <v>38785.760000000002</v>
      </c>
      <c r="E27" s="66">
        <f t="shared" si="0"/>
        <v>100</v>
      </c>
    </row>
    <row r="28" spans="1:5" s="30" customFormat="1" ht="21">
      <c r="A28" s="64" t="s">
        <v>326</v>
      </c>
      <c r="B28" s="62" t="s">
        <v>39</v>
      </c>
      <c r="C28" s="61">
        <v>38785.760000000002</v>
      </c>
      <c r="D28" s="65">
        <v>38785.760000000002</v>
      </c>
      <c r="E28" s="66">
        <f t="shared" si="0"/>
        <v>100</v>
      </c>
    </row>
    <row r="29" spans="1:5" s="30" customFormat="1">
      <c r="A29" s="64" t="s">
        <v>291</v>
      </c>
      <c r="B29" s="62" t="s">
        <v>55</v>
      </c>
      <c r="C29" s="61">
        <f>C30+C32+C35</f>
        <v>591411.4</v>
      </c>
      <c r="D29" s="61">
        <f>D30+D32+D35</f>
        <v>601721.85000000009</v>
      </c>
      <c r="E29" s="66">
        <f t="shared" si="0"/>
        <v>101.74336341842583</v>
      </c>
    </row>
    <row r="30" spans="1:5" s="30" customFormat="1">
      <c r="A30" s="64" t="s">
        <v>292</v>
      </c>
      <c r="B30" s="62" t="s">
        <v>56</v>
      </c>
      <c r="C30" s="61">
        <f>C31</f>
        <v>255735.5</v>
      </c>
      <c r="D30" s="61">
        <f>D31</f>
        <v>259266.04</v>
      </c>
      <c r="E30" s="66">
        <f t="shared" si="0"/>
        <v>101.38054356943013</v>
      </c>
    </row>
    <row r="31" spans="1:5" s="30" customFormat="1" ht="52.5">
      <c r="A31" s="64" t="s">
        <v>327</v>
      </c>
      <c r="B31" s="62" t="s">
        <v>85</v>
      </c>
      <c r="C31" s="61">
        <v>255735.5</v>
      </c>
      <c r="D31" s="65">
        <v>259266.04</v>
      </c>
      <c r="E31" s="66">
        <f t="shared" si="0"/>
        <v>101.38054356943013</v>
      </c>
    </row>
    <row r="32" spans="1:5" s="32" customFormat="1">
      <c r="A32" s="64" t="s">
        <v>293</v>
      </c>
      <c r="B32" s="62" t="s">
        <v>143</v>
      </c>
      <c r="C32" s="61">
        <f>C33+C34</f>
        <v>87700</v>
      </c>
      <c r="D32" s="61">
        <f>D33+D34</f>
        <v>93519.609999999986</v>
      </c>
      <c r="E32" s="66">
        <f t="shared" si="0"/>
        <v>106.63581527936144</v>
      </c>
    </row>
    <row r="33" spans="1:5" s="30" customFormat="1">
      <c r="A33" s="64" t="s">
        <v>328</v>
      </c>
      <c r="B33" s="62" t="s">
        <v>144</v>
      </c>
      <c r="C33" s="61">
        <v>16000</v>
      </c>
      <c r="D33" s="65">
        <v>18466.349999999999</v>
      </c>
      <c r="E33" s="66">
        <f t="shared" si="0"/>
        <v>115.41468749999999</v>
      </c>
    </row>
    <row r="34" spans="1:5" s="30" customFormat="1">
      <c r="A34" s="64" t="s">
        <v>329</v>
      </c>
      <c r="B34" s="62" t="s">
        <v>145</v>
      </c>
      <c r="C34" s="61">
        <v>71700</v>
      </c>
      <c r="D34" s="65">
        <v>75053.259999999995</v>
      </c>
      <c r="E34" s="66">
        <f t="shared" si="0"/>
        <v>104.6767921896792</v>
      </c>
    </row>
    <row r="35" spans="1:5" s="30" customFormat="1">
      <c r="A35" s="64" t="s">
        <v>294</v>
      </c>
      <c r="B35" s="62" t="s">
        <v>57</v>
      </c>
      <c r="C35" s="61">
        <f>C36+C38</f>
        <v>247975.9</v>
      </c>
      <c r="D35" s="61">
        <f>D36+D38</f>
        <v>248936.2</v>
      </c>
      <c r="E35" s="66">
        <f t="shared" si="0"/>
        <v>100.3872553744134</v>
      </c>
    </row>
    <row r="36" spans="1:5" s="30" customFormat="1">
      <c r="A36" s="64" t="s">
        <v>295</v>
      </c>
      <c r="B36" s="62" t="s">
        <v>71</v>
      </c>
      <c r="C36" s="61">
        <f>C37</f>
        <v>177949.12</v>
      </c>
      <c r="D36" s="61">
        <f>D37</f>
        <v>177949.12</v>
      </c>
      <c r="E36" s="66">
        <f t="shared" si="0"/>
        <v>100</v>
      </c>
    </row>
    <row r="37" spans="1:5" s="30" customFormat="1" ht="42">
      <c r="A37" s="64" t="s">
        <v>330</v>
      </c>
      <c r="B37" s="62" t="s">
        <v>72</v>
      </c>
      <c r="C37" s="61">
        <v>177949.12</v>
      </c>
      <c r="D37" s="65">
        <v>177949.12</v>
      </c>
      <c r="E37" s="66">
        <f t="shared" si="0"/>
        <v>100</v>
      </c>
    </row>
    <row r="38" spans="1:5" s="32" customFormat="1">
      <c r="A38" s="64" t="s">
        <v>296</v>
      </c>
      <c r="B38" s="62" t="s">
        <v>73</v>
      </c>
      <c r="C38" s="61">
        <f>C39</f>
        <v>70026.78</v>
      </c>
      <c r="D38" s="61">
        <f>D39</f>
        <v>70987.08</v>
      </c>
      <c r="E38" s="66">
        <f t="shared" si="0"/>
        <v>101.37133251021966</v>
      </c>
    </row>
    <row r="39" spans="1:5" s="30" customFormat="1" ht="42">
      <c r="A39" s="64" t="s">
        <v>331</v>
      </c>
      <c r="B39" s="62" t="s">
        <v>74</v>
      </c>
      <c r="C39" s="61">
        <v>70026.78</v>
      </c>
      <c r="D39" s="65">
        <v>70987.08</v>
      </c>
      <c r="E39" s="66">
        <f t="shared" si="0"/>
        <v>101.37133251021966</v>
      </c>
    </row>
    <row r="40" spans="1:5" s="30" customFormat="1">
      <c r="A40" s="64" t="s">
        <v>297</v>
      </c>
      <c r="B40" s="62" t="s">
        <v>58</v>
      </c>
      <c r="C40" s="61">
        <f>C41</f>
        <v>20360</v>
      </c>
      <c r="D40" s="61">
        <f>D41</f>
        <v>20560</v>
      </c>
      <c r="E40" s="66">
        <f t="shared" si="0"/>
        <v>100.98231827111985</v>
      </c>
    </row>
    <row r="41" spans="1:5" s="30" customFormat="1" ht="52.5">
      <c r="A41" s="64" t="s">
        <v>298</v>
      </c>
      <c r="B41" s="62" t="s">
        <v>59</v>
      </c>
      <c r="C41" s="61">
        <f>C42</f>
        <v>20360</v>
      </c>
      <c r="D41" s="61">
        <f>D42</f>
        <v>20560</v>
      </c>
      <c r="E41" s="66">
        <f t="shared" si="0"/>
        <v>100.98231827111985</v>
      </c>
    </row>
    <row r="42" spans="1:5" s="30" customFormat="1" ht="73.5">
      <c r="A42" s="64" t="s">
        <v>332</v>
      </c>
      <c r="B42" s="62" t="s">
        <v>50</v>
      </c>
      <c r="C42" s="61">
        <v>20360</v>
      </c>
      <c r="D42" s="65">
        <v>20560</v>
      </c>
      <c r="E42" s="66">
        <f t="shared" si="0"/>
        <v>100.98231827111985</v>
      </c>
    </row>
    <row r="43" spans="1:5" s="30" customFormat="1" ht="42">
      <c r="A43" s="64" t="s">
        <v>299</v>
      </c>
      <c r="B43" s="62" t="s">
        <v>60</v>
      </c>
      <c r="C43" s="61">
        <f>C44+C47</f>
        <v>620477.11</v>
      </c>
      <c r="D43" s="61">
        <f>D44+D47</f>
        <v>622504.63</v>
      </c>
      <c r="E43" s="66">
        <f t="shared" si="0"/>
        <v>100.32676789640153</v>
      </c>
    </row>
    <row r="44" spans="1:5" s="30" customFormat="1" ht="94.5">
      <c r="A44" s="64" t="s">
        <v>300</v>
      </c>
      <c r="B44" s="62" t="s">
        <v>75</v>
      </c>
      <c r="C44" s="61">
        <f>C45</f>
        <v>180312.49</v>
      </c>
      <c r="D44" s="61">
        <f>D45</f>
        <v>180312.49</v>
      </c>
      <c r="E44" s="66">
        <f t="shared" si="0"/>
        <v>100</v>
      </c>
    </row>
    <row r="45" spans="1:5" s="30" customFormat="1" ht="94.5">
      <c r="A45" s="64" t="s">
        <v>301</v>
      </c>
      <c r="B45" s="62" t="s">
        <v>76</v>
      </c>
      <c r="C45" s="61">
        <f>C46</f>
        <v>180312.49</v>
      </c>
      <c r="D45" s="61">
        <f>D46</f>
        <v>180312.49</v>
      </c>
      <c r="E45" s="66">
        <f t="shared" si="0"/>
        <v>100</v>
      </c>
    </row>
    <row r="46" spans="1:5" s="30" customFormat="1" ht="73.5">
      <c r="A46" s="64" t="s">
        <v>333</v>
      </c>
      <c r="B46" s="62" t="s">
        <v>77</v>
      </c>
      <c r="C46" s="61">
        <v>180312.49</v>
      </c>
      <c r="D46" s="65">
        <v>180312.49</v>
      </c>
      <c r="E46" s="66">
        <f t="shared" si="0"/>
        <v>100</v>
      </c>
    </row>
    <row r="47" spans="1:5" s="32" customFormat="1" ht="94.5">
      <c r="A47" s="64" t="s">
        <v>302</v>
      </c>
      <c r="B47" s="62" t="s">
        <v>86</v>
      </c>
      <c r="C47" s="61">
        <f>C48</f>
        <v>440164.62</v>
      </c>
      <c r="D47" s="61">
        <f>D48</f>
        <v>442192.14</v>
      </c>
      <c r="E47" s="66">
        <f t="shared" si="0"/>
        <v>100.4606276624414</v>
      </c>
    </row>
    <row r="48" spans="1:5" s="30" customFormat="1" ht="94.5">
      <c r="A48" s="64" t="s">
        <v>303</v>
      </c>
      <c r="B48" s="62" t="s">
        <v>87</v>
      </c>
      <c r="C48" s="61">
        <f>C49</f>
        <v>440164.62</v>
      </c>
      <c r="D48" s="61">
        <f>D49</f>
        <v>442192.14</v>
      </c>
      <c r="E48" s="66">
        <f t="shared" si="0"/>
        <v>100.4606276624414</v>
      </c>
    </row>
    <row r="49" spans="1:5" s="30" customFormat="1" ht="84">
      <c r="A49" s="64" t="s">
        <v>334</v>
      </c>
      <c r="B49" s="62" t="s">
        <v>88</v>
      </c>
      <c r="C49" s="61">
        <v>440164.62</v>
      </c>
      <c r="D49" s="65">
        <v>442192.14</v>
      </c>
      <c r="E49" s="66">
        <f t="shared" si="0"/>
        <v>100.4606276624414</v>
      </c>
    </row>
    <row r="50" spans="1:5" s="30" customFormat="1" ht="31.5">
      <c r="A50" s="64" t="s">
        <v>304</v>
      </c>
      <c r="B50" s="62" t="s">
        <v>305</v>
      </c>
      <c r="C50" s="61">
        <f t="shared" ref="C50:D52" si="1">C51</f>
        <v>100000</v>
      </c>
      <c r="D50" s="65">
        <f t="shared" si="1"/>
        <v>100000</v>
      </c>
      <c r="E50" s="66">
        <f t="shared" si="0"/>
        <v>100</v>
      </c>
    </row>
    <row r="51" spans="1:5" s="30" customFormat="1" ht="21">
      <c r="A51" s="64" t="s">
        <v>306</v>
      </c>
      <c r="B51" s="62" t="s">
        <v>78</v>
      </c>
      <c r="C51" s="61">
        <f t="shared" si="1"/>
        <v>100000</v>
      </c>
      <c r="D51" s="65">
        <f t="shared" si="1"/>
        <v>100000</v>
      </c>
      <c r="E51" s="66">
        <f t="shared" si="0"/>
        <v>100</v>
      </c>
    </row>
    <row r="52" spans="1:5" s="32" customFormat="1" ht="21">
      <c r="A52" s="64" t="s">
        <v>307</v>
      </c>
      <c r="B52" s="62" t="s">
        <v>79</v>
      </c>
      <c r="C52" s="61">
        <f t="shared" si="1"/>
        <v>100000</v>
      </c>
      <c r="D52" s="65">
        <f t="shared" si="1"/>
        <v>100000</v>
      </c>
      <c r="E52" s="66">
        <f t="shared" si="0"/>
        <v>100</v>
      </c>
    </row>
    <row r="53" spans="1:5" s="30" customFormat="1" ht="31.5">
      <c r="A53" s="64" t="s">
        <v>335</v>
      </c>
      <c r="B53" s="62" t="s">
        <v>89</v>
      </c>
      <c r="C53" s="61">
        <v>100000</v>
      </c>
      <c r="D53" s="65">
        <v>100000</v>
      </c>
      <c r="E53" s="66">
        <f t="shared" si="0"/>
        <v>100</v>
      </c>
    </row>
    <row r="54" spans="1:5" s="32" customFormat="1">
      <c r="A54" s="64" t="s">
        <v>308</v>
      </c>
      <c r="B54" s="62" t="s">
        <v>61</v>
      </c>
      <c r="C54" s="65">
        <f>C55</f>
        <v>44889353.659999996</v>
      </c>
      <c r="D54" s="65">
        <f>D55</f>
        <v>44888372.18</v>
      </c>
      <c r="E54" s="66">
        <f t="shared" si="0"/>
        <v>99.997813557291494</v>
      </c>
    </row>
    <row r="55" spans="1:5" s="32" customFormat="1" ht="31.5">
      <c r="A55" s="64" t="s">
        <v>309</v>
      </c>
      <c r="B55" s="62" t="s">
        <v>62</v>
      </c>
      <c r="C55" s="65">
        <f>C56+C59+C66</f>
        <v>44889353.659999996</v>
      </c>
      <c r="D55" s="65">
        <f>D56+D59+D66</f>
        <v>44888372.18</v>
      </c>
      <c r="E55" s="66">
        <f t="shared" si="0"/>
        <v>99.997813557291494</v>
      </c>
    </row>
    <row r="56" spans="1:5" s="32" customFormat="1" ht="21">
      <c r="A56" s="64" t="s">
        <v>310</v>
      </c>
      <c r="B56" s="62" t="s">
        <v>91</v>
      </c>
      <c r="C56" s="65">
        <f>C57</f>
        <v>33396000</v>
      </c>
      <c r="D56" s="65">
        <f>D57</f>
        <v>33396000</v>
      </c>
      <c r="E56" s="66">
        <f t="shared" si="0"/>
        <v>100</v>
      </c>
    </row>
    <row r="57" spans="1:5" s="32" customFormat="1" ht="21">
      <c r="A57" s="64" t="s">
        <v>311</v>
      </c>
      <c r="B57" s="62" t="s">
        <v>22</v>
      </c>
      <c r="C57" s="61">
        <f>C58</f>
        <v>33396000</v>
      </c>
      <c r="D57" s="65">
        <f>D58</f>
        <v>33396000</v>
      </c>
      <c r="E57" s="66">
        <f t="shared" si="0"/>
        <v>100</v>
      </c>
    </row>
    <row r="58" spans="1:5" s="32" customFormat="1" ht="42">
      <c r="A58" s="64" t="s">
        <v>336</v>
      </c>
      <c r="B58" s="62" t="s">
        <v>312</v>
      </c>
      <c r="C58" s="61">
        <v>33396000</v>
      </c>
      <c r="D58" s="65">
        <v>33396000</v>
      </c>
      <c r="E58" s="66">
        <f t="shared" si="0"/>
        <v>100</v>
      </c>
    </row>
    <row r="59" spans="1:5" s="30" customFormat="1" ht="21">
      <c r="A59" s="64" t="s">
        <v>313</v>
      </c>
      <c r="B59" s="62" t="s">
        <v>92</v>
      </c>
      <c r="C59" s="61">
        <f>C60+C64+C62</f>
        <v>537459.57999999996</v>
      </c>
      <c r="D59" s="61">
        <f>D60+D64+D62</f>
        <v>537459.57999999996</v>
      </c>
      <c r="E59" s="66">
        <f t="shared" si="0"/>
        <v>100</v>
      </c>
    </row>
    <row r="60" spans="1:5" s="30" customFormat="1" ht="31.5">
      <c r="A60" s="64" t="s">
        <v>314</v>
      </c>
      <c r="B60" s="62" t="s">
        <v>119</v>
      </c>
      <c r="C60" s="61">
        <f>C61</f>
        <v>19685.71</v>
      </c>
      <c r="D60" s="61">
        <f>D61</f>
        <v>19685.71</v>
      </c>
      <c r="E60" s="66">
        <f t="shared" si="0"/>
        <v>100</v>
      </c>
    </row>
    <row r="61" spans="1:5" s="30" customFormat="1" ht="42">
      <c r="A61" s="64" t="s">
        <v>337</v>
      </c>
      <c r="B61" s="62" t="s">
        <v>133</v>
      </c>
      <c r="C61" s="61">
        <v>19685.71</v>
      </c>
      <c r="D61" s="65">
        <v>19685.71</v>
      </c>
      <c r="E61" s="66">
        <f t="shared" si="0"/>
        <v>100</v>
      </c>
    </row>
    <row r="62" spans="1:5" s="30" customFormat="1" ht="42">
      <c r="A62" s="64" t="s">
        <v>315</v>
      </c>
      <c r="B62" s="62" t="s">
        <v>24</v>
      </c>
      <c r="C62" s="61">
        <f>C63</f>
        <v>466400</v>
      </c>
      <c r="D62" s="61">
        <f>D63</f>
        <v>466400</v>
      </c>
      <c r="E62" s="66">
        <f t="shared" si="0"/>
        <v>100</v>
      </c>
    </row>
    <row r="63" spans="1:5" s="30" customFormat="1" ht="52.5">
      <c r="A63" s="64" t="s">
        <v>338</v>
      </c>
      <c r="B63" s="62" t="s">
        <v>81</v>
      </c>
      <c r="C63" s="61">
        <v>466400</v>
      </c>
      <c r="D63" s="65">
        <v>466400</v>
      </c>
      <c r="E63" s="66">
        <f t="shared" si="0"/>
        <v>100</v>
      </c>
    </row>
    <row r="64" spans="1:5" s="30" customFormat="1" ht="31.5">
      <c r="A64" s="64" t="s">
        <v>316</v>
      </c>
      <c r="B64" s="62" t="s">
        <v>23</v>
      </c>
      <c r="C64" s="61">
        <f>C65</f>
        <v>51373.87</v>
      </c>
      <c r="D64" s="61">
        <f>D65</f>
        <v>51373.87</v>
      </c>
      <c r="E64" s="66">
        <f t="shared" ref="E64:E69" si="2">D64/C64*100</f>
        <v>100</v>
      </c>
    </row>
    <row r="65" spans="1:6" s="30" customFormat="1" ht="42">
      <c r="A65" s="64" t="s">
        <v>339</v>
      </c>
      <c r="B65" s="62" t="s">
        <v>80</v>
      </c>
      <c r="C65" s="61">
        <v>51373.87</v>
      </c>
      <c r="D65" s="65">
        <v>51373.87</v>
      </c>
      <c r="E65" s="66">
        <f t="shared" si="2"/>
        <v>100</v>
      </c>
    </row>
    <row r="66" spans="1:6" s="30" customFormat="1">
      <c r="A66" s="64" t="s">
        <v>317</v>
      </c>
      <c r="B66" s="62" t="s">
        <v>25</v>
      </c>
      <c r="C66" s="61">
        <f>C68</f>
        <v>10955894.08</v>
      </c>
      <c r="D66" s="65">
        <f>D67</f>
        <v>10954912.6</v>
      </c>
      <c r="E66" s="66">
        <f t="shared" si="2"/>
        <v>99.991041534421257</v>
      </c>
    </row>
    <row r="67" spans="1:6" s="30" customFormat="1" ht="21">
      <c r="A67" s="64" t="s">
        <v>318</v>
      </c>
      <c r="B67" s="62" t="s">
        <v>26</v>
      </c>
      <c r="C67" s="61">
        <f>C68</f>
        <v>10955894.08</v>
      </c>
      <c r="D67" s="65">
        <f>D68</f>
        <v>10954912.6</v>
      </c>
      <c r="E67" s="66">
        <f t="shared" si="2"/>
        <v>99.991041534421257</v>
      </c>
    </row>
    <row r="68" spans="1:6" s="30" customFormat="1" ht="31.5">
      <c r="A68" s="64" t="s">
        <v>340</v>
      </c>
      <c r="B68" s="62" t="s">
        <v>82</v>
      </c>
      <c r="C68" s="61">
        <v>10955894.08</v>
      </c>
      <c r="D68" s="65">
        <v>10954912.6</v>
      </c>
      <c r="E68" s="66">
        <f t="shared" si="2"/>
        <v>99.991041534421257</v>
      </c>
    </row>
    <row r="69" spans="1:6" s="30" customFormat="1">
      <c r="A69" s="62" t="s">
        <v>37</v>
      </c>
      <c r="B69" s="62"/>
      <c r="C69" s="61">
        <f>C54+C10</f>
        <v>57107317.929999992</v>
      </c>
      <c r="D69" s="61">
        <f>D54+D10</f>
        <v>57215440.780000001</v>
      </c>
      <c r="E69" s="66">
        <f t="shared" si="2"/>
        <v>100.18933274038983</v>
      </c>
    </row>
    <row r="70" spans="1:6" s="30" customFormat="1" ht="21" customHeight="1">
      <c r="C70" s="47"/>
      <c r="D70" s="47"/>
      <c r="E70" s="33"/>
    </row>
    <row r="71" spans="1:6" s="30" customFormat="1" ht="21" customHeight="1">
      <c r="C71" s="47"/>
      <c r="D71" s="47"/>
      <c r="E71" s="33"/>
    </row>
    <row r="72" spans="1:6" s="30" customFormat="1" ht="21" customHeight="1">
      <c r="C72" s="47"/>
      <c r="D72" s="47"/>
      <c r="E72" s="33"/>
    </row>
    <row r="73" spans="1:6" s="30" customFormat="1" ht="21" customHeight="1">
      <c r="C73" s="47"/>
      <c r="D73" s="47"/>
      <c r="E73" s="33"/>
    </row>
    <row r="74" spans="1:6" s="30" customFormat="1" ht="21" customHeight="1">
      <c r="C74" s="47"/>
      <c r="D74" s="47"/>
      <c r="E74" s="33"/>
    </row>
    <row r="75" spans="1:6" s="30" customFormat="1" ht="49.5" customHeight="1">
      <c r="C75" s="47"/>
      <c r="D75" s="47"/>
      <c r="E75" s="33"/>
    </row>
    <row r="76" spans="1:6" s="30" customFormat="1" ht="12.75" customHeight="1">
      <c r="A76" s="32"/>
      <c r="B76" s="32"/>
      <c r="C76" s="50"/>
      <c r="D76" s="50"/>
      <c r="E76" s="41"/>
    </row>
    <row r="78" spans="1:6">
      <c r="F78" s="33"/>
    </row>
  </sheetData>
  <mergeCells count="1">
    <mergeCell ref="A6:E6"/>
  </mergeCells>
  <phoneticPr fontId="7" type="noConversion"/>
  <pageMargins left="0.75" right="0.15" top="0.54" bottom="0.52" header="0.5" footer="0.5"/>
  <pageSetup paperSize="9" scale="76" fitToHeight="2" orientation="portrait" r:id="rId1"/>
  <headerFooter alignWithMargins="0"/>
  <rowBreaks count="2" manualBreakCount="2">
    <brk id="51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workbookViewId="0">
      <selection activeCell="B10" sqref="B10:B11"/>
    </sheetView>
  </sheetViews>
  <sheetFormatPr defaultRowHeight="15.75" outlineLevelRow="1"/>
  <cols>
    <col min="1" max="1" width="45.85546875" style="2" customWidth="1"/>
    <col min="2" max="2" width="7.28515625" style="1" customWidth="1"/>
    <col min="3" max="3" width="7.85546875" style="1" customWidth="1"/>
    <col min="4" max="4" width="20.7109375" style="1" customWidth="1"/>
    <col min="5" max="5" width="18.7109375" style="1" customWidth="1"/>
    <col min="6" max="6" width="17.5703125" style="1" customWidth="1"/>
    <col min="7" max="16384" width="9.140625" style="3"/>
  </cols>
  <sheetData>
    <row r="1" spans="1:8" ht="15.75" customHeight="1">
      <c r="C1" s="21"/>
      <c r="D1" s="22"/>
      <c r="E1" s="53" t="s">
        <v>413</v>
      </c>
      <c r="F1" s="22"/>
    </row>
    <row r="2" spans="1:8" ht="15.75" customHeight="1">
      <c r="C2" s="21"/>
      <c r="D2" s="22"/>
      <c r="E2" s="68" t="s">
        <v>412</v>
      </c>
      <c r="F2" s="68"/>
      <c r="G2" s="68"/>
      <c r="H2" s="68"/>
    </row>
    <row r="3" spans="1:8" ht="15.75" customHeight="1">
      <c r="C3" s="21"/>
      <c r="D3" s="22"/>
      <c r="E3" s="68" t="s">
        <v>108</v>
      </c>
      <c r="F3" s="68"/>
      <c r="G3" s="68"/>
      <c r="H3" s="68"/>
    </row>
    <row r="4" spans="1:8" ht="14.25" customHeight="1">
      <c r="C4" s="21"/>
      <c r="D4" s="22"/>
      <c r="E4" s="51" t="s">
        <v>363</v>
      </c>
      <c r="F4" s="39"/>
      <c r="G4" s="39"/>
      <c r="H4"/>
    </row>
    <row r="5" spans="1:8" ht="13.5" customHeight="1">
      <c r="C5" s="21"/>
      <c r="D5" s="14"/>
      <c r="E5" s="37" t="str">
        <f>прил.4!H5</f>
        <v>от  29.04.2022г.  № 206</v>
      </c>
      <c r="F5" s="39"/>
      <c r="G5" s="39"/>
      <c r="H5"/>
    </row>
    <row r="6" spans="1:8">
      <c r="C6" s="21"/>
      <c r="D6" s="14"/>
      <c r="E6" s="14"/>
      <c r="F6" s="14"/>
    </row>
    <row r="7" spans="1:8" s="24" customFormat="1" ht="14.25" customHeight="1">
      <c r="A7" s="136" t="s">
        <v>368</v>
      </c>
      <c r="B7" s="136"/>
      <c r="C7" s="136"/>
      <c r="D7" s="136"/>
      <c r="E7" s="136"/>
      <c r="F7" s="136"/>
    </row>
    <row r="8" spans="1:8" s="24" customFormat="1" ht="17.25" customHeight="1">
      <c r="A8" s="136" t="s">
        <v>419</v>
      </c>
      <c r="B8" s="136"/>
      <c r="C8" s="136"/>
      <c r="D8" s="136"/>
      <c r="E8" s="136"/>
      <c r="F8" s="136"/>
    </row>
    <row r="9" spans="1:8" ht="14.25" customHeight="1">
      <c r="A9" s="1"/>
      <c r="D9" s="4"/>
      <c r="E9" s="4"/>
      <c r="F9" s="34"/>
    </row>
    <row r="10" spans="1:8" ht="66" customHeight="1">
      <c r="A10" s="141" t="s">
        <v>2</v>
      </c>
      <c r="B10" s="143" t="s">
        <v>10</v>
      </c>
      <c r="C10" s="143" t="s">
        <v>11</v>
      </c>
      <c r="D10" s="137" t="s">
        <v>27</v>
      </c>
      <c r="E10" s="137" t="s">
        <v>43</v>
      </c>
      <c r="F10" s="139" t="s">
        <v>28</v>
      </c>
    </row>
    <row r="11" spans="1:8" ht="66.75" customHeight="1">
      <c r="A11" s="142"/>
      <c r="B11" s="144"/>
      <c r="C11" s="144"/>
      <c r="D11" s="138"/>
      <c r="E11" s="138"/>
      <c r="F11" s="140"/>
    </row>
    <row r="12" spans="1:8" ht="17.25" customHeight="1">
      <c r="A12" s="5">
        <v>1</v>
      </c>
      <c r="B12" s="5">
        <v>2</v>
      </c>
      <c r="C12" s="5">
        <v>3</v>
      </c>
      <c r="D12" s="5">
        <v>4</v>
      </c>
      <c r="E12" s="5">
        <v>4</v>
      </c>
      <c r="F12" s="5">
        <v>4</v>
      </c>
    </row>
    <row r="13" spans="1:8">
      <c r="A13" s="72" t="s">
        <v>147</v>
      </c>
      <c r="B13" s="6" t="s">
        <v>12</v>
      </c>
      <c r="C13" s="6"/>
      <c r="D13" s="57">
        <f>SUM(D14:D17)</f>
        <v>30487009.029999997</v>
      </c>
      <c r="E13" s="57">
        <f>SUM(E14:E17)</f>
        <v>29813309.219999999</v>
      </c>
      <c r="F13" s="42">
        <f>E13/D13*100</f>
        <v>97.790206939168542</v>
      </c>
    </row>
    <row r="14" spans="1:8" ht="47.25">
      <c r="A14" s="70" t="s">
        <v>95</v>
      </c>
      <c r="B14" s="8" t="s">
        <v>12</v>
      </c>
      <c r="C14" s="8" t="s">
        <v>14</v>
      </c>
      <c r="D14" s="23">
        <v>1824865.96</v>
      </c>
      <c r="E14" s="23">
        <v>1824865.96</v>
      </c>
      <c r="F14" s="43">
        <f>E14/D14*100</f>
        <v>100</v>
      </c>
    </row>
    <row r="15" spans="1:8" ht="78.75">
      <c r="A15" s="70" t="s">
        <v>156</v>
      </c>
      <c r="B15" s="8" t="s">
        <v>12</v>
      </c>
      <c r="C15" s="8" t="s">
        <v>15</v>
      </c>
      <c r="D15" s="23">
        <v>10422345.310000001</v>
      </c>
      <c r="E15" s="23">
        <v>10422345.310000001</v>
      </c>
      <c r="F15" s="43">
        <f>E15/D15*100</f>
        <v>100</v>
      </c>
    </row>
    <row r="16" spans="1:8" ht="31.5">
      <c r="A16" s="15" t="s">
        <v>120</v>
      </c>
      <c r="B16" s="8" t="s">
        <v>12</v>
      </c>
      <c r="C16" s="8" t="s">
        <v>19</v>
      </c>
      <c r="D16" s="23">
        <v>227901.7</v>
      </c>
      <c r="E16" s="23">
        <v>227901.7</v>
      </c>
      <c r="F16" s="43">
        <f>E16/D16*100</f>
        <v>100</v>
      </c>
    </row>
    <row r="17" spans="1:6">
      <c r="A17" s="16" t="s">
        <v>3</v>
      </c>
      <c r="B17" s="8" t="s">
        <v>12</v>
      </c>
      <c r="C17" s="8" t="s">
        <v>42</v>
      </c>
      <c r="D17" s="23">
        <v>18011896.059999999</v>
      </c>
      <c r="E17" s="23">
        <v>17338196.25</v>
      </c>
      <c r="F17" s="43">
        <f t="shared" ref="F17:F42" si="0">E17/D17*100</f>
        <v>96.259695216118189</v>
      </c>
    </row>
    <row r="18" spans="1:6">
      <c r="A18" s="17" t="s">
        <v>199</v>
      </c>
      <c r="B18" s="6" t="s">
        <v>14</v>
      </c>
      <c r="C18" s="8"/>
      <c r="D18" s="57">
        <f>D19</f>
        <v>466400</v>
      </c>
      <c r="E18" s="57">
        <f>E19</f>
        <v>466400</v>
      </c>
      <c r="F18" s="42">
        <f t="shared" si="0"/>
        <v>100</v>
      </c>
    </row>
    <row r="19" spans="1:6" ht="31.5">
      <c r="A19" s="9" t="s">
        <v>0</v>
      </c>
      <c r="B19" s="8" t="s">
        <v>14</v>
      </c>
      <c r="C19" s="8" t="s">
        <v>13</v>
      </c>
      <c r="D19" s="23">
        <v>466400</v>
      </c>
      <c r="E19" s="23">
        <v>466400</v>
      </c>
      <c r="F19" s="43">
        <f t="shared" si="0"/>
        <v>100</v>
      </c>
    </row>
    <row r="20" spans="1:6" ht="31.5">
      <c r="A20" s="10" t="s">
        <v>30</v>
      </c>
      <c r="B20" s="6" t="s">
        <v>13</v>
      </c>
      <c r="C20" s="6"/>
      <c r="D20" s="57">
        <f>SUM(D21:D23)</f>
        <v>1667670.87</v>
      </c>
      <c r="E20" s="57">
        <f>SUM(E21:E23)</f>
        <v>1667670.87</v>
      </c>
      <c r="F20" s="42">
        <f>E20/D20*100</f>
        <v>100</v>
      </c>
    </row>
    <row r="21" spans="1:6">
      <c r="A21" s="9" t="s">
        <v>45</v>
      </c>
      <c r="B21" s="8" t="s">
        <v>13</v>
      </c>
      <c r="C21" s="8" t="s">
        <v>15</v>
      </c>
      <c r="D21" s="23">
        <v>51373.87</v>
      </c>
      <c r="E21" s="23">
        <v>51373.87</v>
      </c>
      <c r="F21" s="43">
        <f>E21/D21*100</f>
        <v>100</v>
      </c>
    </row>
    <row r="22" spans="1:6" ht="63">
      <c r="A22" s="9" t="s">
        <v>121</v>
      </c>
      <c r="B22" s="8" t="s">
        <v>13</v>
      </c>
      <c r="C22" s="8" t="s">
        <v>20</v>
      </c>
      <c r="D22" s="23">
        <v>1586722</v>
      </c>
      <c r="E22" s="23">
        <v>1586722</v>
      </c>
      <c r="F22" s="43">
        <f>E22/D22*100</f>
        <v>100</v>
      </c>
    </row>
    <row r="23" spans="1:6" ht="47.25">
      <c r="A23" s="9" t="s">
        <v>46</v>
      </c>
      <c r="B23" s="8" t="s">
        <v>13</v>
      </c>
      <c r="C23" s="8" t="s">
        <v>44</v>
      </c>
      <c r="D23" s="23">
        <v>29575</v>
      </c>
      <c r="E23" s="23">
        <v>29575</v>
      </c>
      <c r="F23" s="43">
        <f>E23/D23*100</f>
        <v>100</v>
      </c>
    </row>
    <row r="24" spans="1:6">
      <c r="A24" s="10" t="s">
        <v>35</v>
      </c>
      <c r="B24" s="6" t="s">
        <v>15</v>
      </c>
      <c r="C24" s="6"/>
      <c r="D24" s="57">
        <f>SUM(D25:D28)</f>
        <v>11143788.84</v>
      </c>
      <c r="E24" s="57">
        <f>SUM(E25:E28)</f>
        <v>10953241.52</v>
      </c>
      <c r="F24" s="42">
        <f t="shared" si="0"/>
        <v>98.290102919789348</v>
      </c>
    </row>
    <row r="25" spans="1:6">
      <c r="A25" s="9" t="s">
        <v>34</v>
      </c>
      <c r="B25" s="8" t="s">
        <v>15</v>
      </c>
      <c r="C25" s="8" t="s">
        <v>12</v>
      </c>
      <c r="D25" s="23">
        <v>2849932.87</v>
      </c>
      <c r="E25" s="23">
        <v>2848951.39</v>
      </c>
      <c r="F25" s="43">
        <f t="shared" si="0"/>
        <v>99.965561294080587</v>
      </c>
    </row>
    <row r="26" spans="1:6">
      <c r="A26" s="9" t="s">
        <v>146</v>
      </c>
      <c r="B26" s="8" t="s">
        <v>15</v>
      </c>
      <c r="C26" s="8" t="s">
        <v>16</v>
      </c>
      <c r="D26" s="23">
        <v>19685.71</v>
      </c>
      <c r="E26" s="23">
        <v>19685.71</v>
      </c>
      <c r="F26" s="43">
        <f t="shared" si="0"/>
        <v>100</v>
      </c>
    </row>
    <row r="27" spans="1:6">
      <c r="A27" s="9" t="s">
        <v>47</v>
      </c>
      <c r="B27" s="8" t="s">
        <v>15</v>
      </c>
      <c r="C27" s="8" t="s">
        <v>20</v>
      </c>
      <c r="D27" s="23">
        <v>8025360.2599999998</v>
      </c>
      <c r="E27" s="23">
        <v>7835794.4199999999</v>
      </c>
      <c r="F27" s="43">
        <f t="shared" si="0"/>
        <v>97.63791488657732</v>
      </c>
    </row>
    <row r="28" spans="1:6">
      <c r="A28" s="9" t="s">
        <v>40</v>
      </c>
      <c r="B28" s="8" t="s">
        <v>15</v>
      </c>
      <c r="C28" s="8" t="s">
        <v>18</v>
      </c>
      <c r="D28" s="23">
        <v>248810</v>
      </c>
      <c r="E28" s="23">
        <v>248810</v>
      </c>
      <c r="F28" s="43">
        <f t="shared" si="0"/>
        <v>100</v>
      </c>
    </row>
    <row r="29" spans="1:6">
      <c r="A29" s="7" t="s">
        <v>4</v>
      </c>
      <c r="B29" s="6" t="s">
        <v>16</v>
      </c>
      <c r="C29" s="8"/>
      <c r="D29" s="57">
        <f>SUM(D30:D33)</f>
        <v>2935599.27</v>
      </c>
      <c r="E29" s="57">
        <f>SUM(E30:E33)</f>
        <v>2935599.27</v>
      </c>
      <c r="F29" s="42">
        <f t="shared" si="0"/>
        <v>100</v>
      </c>
    </row>
    <row r="30" spans="1:6">
      <c r="A30" s="9" t="s">
        <v>5</v>
      </c>
      <c r="B30" s="8" t="s">
        <v>16</v>
      </c>
      <c r="C30" s="8" t="s">
        <v>12</v>
      </c>
      <c r="D30" s="23">
        <v>131560</v>
      </c>
      <c r="E30" s="23">
        <v>131560</v>
      </c>
      <c r="F30" s="43">
        <f t="shared" si="0"/>
        <v>100</v>
      </c>
    </row>
    <row r="31" spans="1:6" hidden="1">
      <c r="A31" s="9" t="s">
        <v>6</v>
      </c>
      <c r="B31" s="8" t="s">
        <v>16</v>
      </c>
      <c r="C31" s="8" t="s">
        <v>14</v>
      </c>
      <c r="D31" s="23">
        <v>0</v>
      </c>
      <c r="E31" s="23">
        <v>0</v>
      </c>
      <c r="F31" s="43" t="e">
        <f t="shared" si="0"/>
        <v>#DIV/0!</v>
      </c>
    </row>
    <row r="32" spans="1:6">
      <c r="A32" s="11" t="s">
        <v>7</v>
      </c>
      <c r="B32" s="8" t="s">
        <v>16</v>
      </c>
      <c r="C32" s="8" t="s">
        <v>13</v>
      </c>
      <c r="D32" s="23">
        <v>2417396.27</v>
      </c>
      <c r="E32" s="23">
        <v>2417396.27</v>
      </c>
      <c r="F32" s="43">
        <f t="shared" si="0"/>
        <v>100</v>
      </c>
    </row>
    <row r="33" spans="1:6" ht="31.5">
      <c r="A33" s="11" t="s">
        <v>36</v>
      </c>
      <c r="B33" s="8" t="s">
        <v>16</v>
      </c>
      <c r="C33" s="8" t="s">
        <v>16</v>
      </c>
      <c r="D33" s="23">
        <v>386643</v>
      </c>
      <c r="E33" s="23">
        <v>386643</v>
      </c>
      <c r="F33" s="43">
        <f>E33/D33*100</f>
        <v>100</v>
      </c>
    </row>
    <row r="34" spans="1:6" hidden="1">
      <c r="A34" s="7" t="s">
        <v>123</v>
      </c>
      <c r="B34" s="6" t="s">
        <v>122</v>
      </c>
      <c r="C34" s="6"/>
      <c r="D34" s="57">
        <f>D35</f>
        <v>0</v>
      </c>
      <c r="E34" s="57">
        <f>E35</f>
        <v>0</v>
      </c>
      <c r="F34" s="43" t="e">
        <f t="shared" si="0"/>
        <v>#DIV/0!</v>
      </c>
    </row>
    <row r="35" spans="1:6" ht="31.5" hidden="1">
      <c r="A35" s="11" t="s">
        <v>124</v>
      </c>
      <c r="B35" s="8" t="s">
        <v>122</v>
      </c>
      <c r="C35" s="8" t="s">
        <v>16</v>
      </c>
      <c r="D35" s="23">
        <v>0</v>
      </c>
      <c r="E35" s="23">
        <v>0</v>
      </c>
      <c r="F35" s="43" t="e">
        <f t="shared" si="0"/>
        <v>#DIV/0!</v>
      </c>
    </row>
    <row r="36" spans="1:6">
      <c r="A36" s="7" t="s">
        <v>8</v>
      </c>
      <c r="B36" s="6" t="s">
        <v>19</v>
      </c>
      <c r="C36" s="8"/>
      <c r="D36" s="57">
        <f>SUM(D37:D37)</f>
        <v>243096.3</v>
      </c>
      <c r="E36" s="57">
        <f>SUM(E37:E37)</f>
        <v>243096.3</v>
      </c>
      <c r="F36" s="42">
        <f t="shared" si="0"/>
        <v>100</v>
      </c>
    </row>
    <row r="37" spans="1:6" ht="18" customHeight="1">
      <c r="A37" s="9" t="s">
        <v>249</v>
      </c>
      <c r="B37" s="8" t="s">
        <v>19</v>
      </c>
      <c r="C37" s="8" t="s">
        <v>19</v>
      </c>
      <c r="D37" s="23">
        <v>243096.3</v>
      </c>
      <c r="E37" s="23">
        <v>243096.3</v>
      </c>
      <c r="F37" s="43">
        <f t="shared" si="0"/>
        <v>100</v>
      </c>
    </row>
    <row r="38" spans="1:6">
      <c r="A38" s="10" t="s">
        <v>41</v>
      </c>
      <c r="B38" s="6" t="s">
        <v>17</v>
      </c>
      <c r="C38" s="6"/>
      <c r="D38" s="57">
        <f>D39</f>
        <v>12126341.470000001</v>
      </c>
      <c r="E38" s="57">
        <f>E39</f>
        <v>12126341.470000001</v>
      </c>
      <c r="F38" s="42">
        <f t="shared" si="0"/>
        <v>100</v>
      </c>
    </row>
    <row r="39" spans="1:6">
      <c r="A39" s="9" t="s">
        <v>9</v>
      </c>
      <c r="B39" s="8" t="s">
        <v>17</v>
      </c>
      <c r="C39" s="8" t="s">
        <v>12</v>
      </c>
      <c r="D39" s="23">
        <v>12126341.470000001</v>
      </c>
      <c r="E39" s="23">
        <v>12126341.470000001</v>
      </c>
      <c r="F39" s="43">
        <f t="shared" si="0"/>
        <v>100</v>
      </c>
    </row>
    <row r="40" spans="1:6">
      <c r="A40" s="10" t="s">
        <v>48</v>
      </c>
      <c r="B40" s="6" t="s">
        <v>18</v>
      </c>
      <c r="C40" s="6"/>
      <c r="D40" s="57">
        <f>SUM(D41)</f>
        <v>435000</v>
      </c>
      <c r="E40" s="57">
        <f>SUM(E41)</f>
        <v>435000</v>
      </c>
      <c r="F40" s="42">
        <f>SUM(F41)</f>
        <v>100</v>
      </c>
    </row>
    <row r="41" spans="1:6">
      <c r="A41" s="9" t="s">
        <v>67</v>
      </c>
      <c r="B41" s="8" t="s">
        <v>18</v>
      </c>
      <c r="C41" s="8" t="s">
        <v>12</v>
      </c>
      <c r="D41" s="23">
        <v>435000</v>
      </c>
      <c r="E41" s="23">
        <v>435000</v>
      </c>
      <c r="F41" s="43">
        <f t="shared" si="0"/>
        <v>100</v>
      </c>
    </row>
    <row r="42" spans="1:6">
      <c r="A42" s="10" t="s">
        <v>29</v>
      </c>
      <c r="B42" s="6"/>
      <c r="C42" s="6"/>
      <c r="D42" s="57">
        <f>D13+D18+D29+D36+D38+D24+D20+D40+D34</f>
        <v>59504905.779999994</v>
      </c>
      <c r="E42" s="57">
        <f>E13+E18+E29+E36+E38+E24+E20+E40+E34</f>
        <v>58640658.649999999</v>
      </c>
      <c r="F42" s="42">
        <f t="shared" si="0"/>
        <v>98.547603565334157</v>
      </c>
    </row>
    <row r="43" spans="1:6">
      <c r="A43" s="18"/>
      <c r="B43" s="12"/>
      <c r="C43" s="12"/>
      <c r="D43" s="19"/>
      <c r="E43" s="19"/>
      <c r="F43" s="19"/>
    </row>
    <row r="44" spans="1:6" outlineLevel="1">
      <c r="A44" s="20"/>
      <c r="B44" s="12"/>
      <c r="C44" s="12"/>
      <c r="D44" s="13"/>
      <c r="E44" s="13"/>
      <c r="F44" s="13"/>
    </row>
    <row r="45" spans="1:6" outlineLevel="1">
      <c r="A45" s="20"/>
      <c r="B45" s="12"/>
      <c r="C45" s="12"/>
      <c r="D45" s="12"/>
      <c r="E45" s="12"/>
      <c r="F45" s="12"/>
    </row>
    <row r="46" spans="1:6">
      <c r="A46" s="20"/>
      <c r="B46" s="12"/>
      <c r="C46" s="12"/>
      <c r="D46" s="12"/>
      <c r="E46" s="12"/>
      <c r="F46" s="12"/>
    </row>
    <row r="47" spans="1:6" ht="12.75" customHeight="1">
      <c r="A47" s="18"/>
      <c r="B47" s="12"/>
      <c r="C47" s="12"/>
      <c r="D47" s="12"/>
      <c r="E47" s="12"/>
      <c r="F47" s="12"/>
    </row>
    <row r="48" spans="1:6" ht="12.75" customHeight="1">
      <c r="A48" s="18"/>
      <c r="B48" s="12"/>
      <c r="C48" s="12"/>
      <c r="D48" s="12"/>
      <c r="E48" s="12"/>
      <c r="F48" s="12"/>
    </row>
    <row r="49" spans="1:6" ht="12.75" customHeight="1">
      <c r="A49" s="1"/>
      <c r="B49" s="12"/>
      <c r="C49" s="12"/>
      <c r="D49" s="12"/>
      <c r="E49" s="12"/>
      <c r="F49" s="12"/>
    </row>
    <row r="50" spans="1:6" ht="12.75" customHeight="1">
      <c r="A50" s="4"/>
      <c r="B50" s="12"/>
      <c r="C50" s="12"/>
      <c r="D50" s="12"/>
      <c r="E50" s="12"/>
      <c r="F50" s="12"/>
    </row>
    <row r="51" spans="1:6" ht="12.75" customHeight="1">
      <c r="B51" s="12"/>
      <c r="C51" s="12"/>
      <c r="D51" s="12"/>
      <c r="E51" s="12"/>
      <c r="F51" s="12"/>
    </row>
    <row r="52" spans="1:6" ht="12.75" customHeight="1">
      <c r="B52" s="12"/>
      <c r="C52" s="12"/>
      <c r="D52" s="12"/>
      <c r="E52" s="12"/>
      <c r="F52" s="12"/>
    </row>
    <row r="53" spans="1:6" ht="12.75" customHeight="1"/>
    <row r="54" spans="1:6" ht="14.25" customHeight="1"/>
    <row r="55" spans="1:6" ht="24.95" customHeight="1"/>
    <row r="56" spans="1:6" ht="24.95" customHeight="1"/>
    <row r="57" spans="1:6" ht="24.95" customHeight="1"/>
    <row r="58" spans="1:6" ht="24.95" customHeight="1"/>
    <row r="59" spans="1:6" ht="24.95" customHeight="1"/>
    <row r="60" spans="1:6" ht="24.95" customHeight="1"/>
    <row r="61" spans="1:6" ht="24.95" customHeight="1"/>
    <row r="62" spans="1:6" ht="24.95" customHeight="1"/>
    <row r="63" spans="1:6" ht="24.95" customHeight="1"/>
    <row r="64" spans="1:6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</sheetData>
  <customSheetViews>
    <customSheetView guid="{72E271AC-85C0-42E8-ADA1-BE710B500E88}" showPageBreaks="1" printArea="1" hiddenRows="1" view="pageBreakPreview" showRuler="0">
      <selection activeCell="A7" sqref="A7:F7"/>
      <pageMargins left="0.68" right="0.19685039370078741" top="0.35433070866141736" bottom="0.39370078740157483" header="0.15748031496062992" footer="0.19685039370078741"/>
      <pageSetup paperSize="9" scale="75" firstPageNumber="31" orientation="portrait" useFirstPageNumber="1" r:id="rId1"/>
      <headerFooter alignWithMargins="0"/>
    </customSheetView>
  </customSheetViews>
  <mergeCells count="8">
    <mergeCell ref="A8:F8"/>
    <mergeCell ref="A7:F7"/>
    <mergeCell ref="E10:E11"/>
    <mergeCell ref="F10:F11"/>
    <mergeCell ref="A10:A11"/>
    <mergeCell ref="B10:B11"/>
    <mergeCell ref="C10:C11"/>
    <mergeCell ref="D10:D11"/>
  </mergeCells>
  <phoneticPr fontId="0" type="noConversion"/>
  <pageMargins left="0.68" right="0.19685039370078741" top="0.35433070866141736" bottom="0.39370078740157483" header="0.15748031496062992" footer="0.19685039370078741"/>
  <pageSetup paperSize="9" scale="72" firstPageNumber="31" orientation="portrait" useFirstPageNumber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2"/>
  <sheetViews>
    <sheetView view="pageBreakPreview" zoomScale="120" zoomScaleSheetLayoutView="120" workbookViewId="0">
      <selection activeCell="G13" sqref="G13"/>
    </sheetView>
  </sheetViews>
  <sheetFormatPr defaultRowHeight="12.75"/>
  <cols>
    <col min="1" max="1" width="40.42578125" style="118" customWidth="1"/>
    <col min="2" max="2" width="6.140625" style="115" customWidth="1"/>
    <col min="3" max="3" width="5.140625" style="122" customWidth="1"/>
    <col min="4" max="4" width="5.28515625" style="122" customWidth="1"/>
    <col min="5" max="5" width="13.7109375" style="115" customWidth="1"/>
    <col min="6" max="6" width="6.42578125" style="115" customWidth="1"/>
    <col min="7" max="7" width="13.7109375" style="116" customWidth="1"/>
    <col min="8" max="8" width="15" style="116" customWidth="1"/>
    <col min="9" max="9" width="15.7109375" style="115" customWidth="1"/>
    <col min="10" max="10" width="15.85546875" style="115" customWidth="1"/>
    <col min="11" max="11" width="11.28515625" style="115" customWidth="1"/>
    <col min="12" max="12" width="12.140625" style="117" customWidth="1"/>
    <col min="13" max="14" width="9.140625" style="117" hidden="1" customWidth="1"/>
    <col min="15" max="18" width="9.140625" style="117"/>
    <col min="19" max="19" width="0.140625" style="117" customWidth="1"/>
    <col min="20" max="16384" width="9.140625" style="117"/>
  </cols>
  <sheetData>
    <row r="1" spans="1:11" s="111" customFormat="1" ht="15.75">
      <c r="A1" s="106"/>
      <c r="B1" s="107"/>
      <c r="C1" s="120"/>
      <c r="D1" s="120"/>
      <c r="E1" s="107"/>
      <c r="F1" s="107"/>
      <c r="G1" s="108"/>
      <c r="H1" s="52" t="s">
        <v>21</v>
      </c>
      <c r="I1" s="109"/>
      <c r="J1" s="110"/>
    </row>
    <row r="2" spans="1:11" s="111" customFormat="1" ht="15.75">
      <c r="A2" s="106"/>
      <c r="B2" s="107"/>
      <c r="C2" s="120"/>
      <c r="D2" s="120"/>
      <c r="E2" s="107"/>
      <c r="F2" s="107"/>
      <c r="G2" s="108"/>
      <c r="H2" s="68" t="s">
        <v>414</v>
      </c>
      <c r="I2" s="68"/>
      <c r="J2" s="68"/>
      <c r="K2" s="68"/>
    </row>
    <row r="3" spans="1:11" s="111" customFormat="1" ht="15.75">
      <c r="A3" s="106"/>
      <c r="B3" s="107"/>
      <c r="C3" s="120"/>
      <c r="D3" s="120"/>
      <c r="E3" s="107"/>
      <c r="F3" s="107"/>
      <c r="G3" s="108"/>
      <c r="H3" s="68" t="s">
        <v>108</v>
      </c>
      <c r="I3" s="68"/>
      <c r="J3" s="68"/>
      <c r="K3" s="68"/>
    </row>
    <row r="4" spans="1:11" s="111" customFormat="1" ht="15.75" customHeight="1">
      <c r="A4" s="106"/>
      <c r="B4" s="107"/>
      <c r="C4" s="120"/>
      <c r="D4" s="120"/>
      <c r="E4" s="107"/>
      <c r="F4" s="107"/>
      <c r="G4" s="108"/>
      <c r="H4" s="51" t="s">
        <v>363</v>
      </c>
      <c r="I4" s="39"/>
      <c r="J4" s="39"/>
      <c r="K4" s="95"/>
    </row>
    <row r="5" spans="1:11" s="111" customFormat="1" ht="15.75" customHeight="1">
      <c r="A5" s="106"/>
      <c r="B5" s="107"/>
      <c r="C5" s="120"/>
      <c r="D5" s="120"/>
      <c r="E5" s="107"/>
      <c r="F5" s="107"/>
      <c r="G5" s="108"/>
      <c r="H5" s="37" t="str">
        <f>прил.1!C5</f>
        <v>от  29.04.2022г.  № 206</v>
      </c>
      <c r="I5" s="39"/>
      <c r="J5" s="39"/>
      <c r="K5" s="95"/>
    </row>
    <row r="6" spans="1:11" s="111" customFormat="1" ht="14.25" customHeight="1">
      <c r="A6" s="145" t="s">
        <v>366</v>
      </c>
      <c r="B6" s="145"/>
      <c r="C6" s="145"/>
      <c r="D6" s="145"/>
      <c r="E6" s="145"/>
      <c r="F6" s="145"/>
      <c r="G6" s="145"/>
      <c r="H6" s="145"/>
      <c r="I6" s="145"/>
      <c r="J6" s="25"/>
      <c r="K6" s="25"/>
    </row>
    <row r="7" spans="1:11" s="111" customFormat="1" ht="14.25" customHeight="1">
      <c r="A7" s="22"/>
      <c r="B7" s="112" t="s">
        <v>1</v>
      </c>
      <c r="C7" s="112"/>
      <c r="D7" s="112"/>
      <c r="E7" s="112"/>
      <c r="F7" s="112"/>
      <c r="G7" s="113"/>
      <c r="H7" s="56"/>
      <c r="I7" s="25"/>
      <c r="J7" s="25"/>
      <c r="K7" s="25"/>
    </row>
    <row r="8" spans="1:11" s="111" customFormat="1" ht="14.25" customHeight="1">
      <c r="A8" s="22"/>
      <c r="B8" s="112"/>
      <c r="C8" s="112"/>
      <c r="D8" s="112"/>
      <c r="E8" s="112"/>
      <c r="F8" s="112"/>
      <c r="G8" s="113"/>
      <c r="H8" s="56"/>
      <c r="I8" s="25"/>
      <c r="J8" s="25"/>
      <c r="K8" s="25"/>
    </row>
    <row r="9" spans="1:11" s="99" customFormat="1" ht="36">
      <c r="A9" s="96" t="s">
        <v>125</v>
      </c>
      <c r="B9" s="96" t="s">
        <v>98</v>
      </c>
      <c r="C9" s="121" t="s">
        <v>99</v>
      </c>
      <c r="D9" s="121" t="s">
        <v>100</v>
      </c>
      <c r="E9" s="96" t="s">
        <v>101</v>
      </c>
      <c r="F9" s="96" t="s">
        <v>102</v>
      </c>
      <c r="G9" s="97" t="s">
        <v>83</v>
      </c>
      <c r="H9" s="97" t="s">
        <v>84</v>
      </c>
      <c r="I9" s="98" t="s">
        <v>49</v>
      </c>
    </row>
    <row r="10" spans="1:11" s="99" customFormat="1" ht="12">
      <c r="A10" s="96">
        <v>1</v>
      </c>
      <c r="B10" s="96">
        <v>2</v>
      </c>
      <c r="C10" s="121">
        <v>3</v>
      </c>
      <c r="D10" s="121">
        <v>4</v>
      </c>
      <c r="E10" s="100">
        <v>5</v>
      </c>
      <c r="F10" s="96">
        <v>6</v>
      </c>
      <c r="G10" s="96">
        <v>7</v>
      </c>
      <c r="H10" s="96">
        <v>8</v>
      </c>
      <c r="I10" s="101">
        <v>9</v>
      </c>
    </row>
    <row r="11" spans="1:11" s="102" customFormat="1" ht="12">
      <c r="A11" s="105" t="s">
        <v>147</v>
      </c>
      <c r="B11" s="123" t="s">
        <v>415</v>
      </c>
      <c r="C11" s="123" t="s">
        <v>12</v>
      </c>
      <c r="D11" s="123" t="s">
        <v>129</v>
      </c>
      <c r="E11" s="124"/>
      <c r="F11" s="124" t="s">
        <v>271</v>
      </c>
      <c r="G11" s="125">
        <f>30487009.03</f>
        <v>30487009.030000001</v>
      </c>
      <c r="H11" s="126">
        <v>29813309.219999999</v>
      </c>
      <c r="I11" s="126">
        <f t="shared" ref="I11:I46" si="0">H11/G11*100</f>
        <v>97.790206939168527</v>
      </c>
    </row>
    <row r="12" spans="1:11" s="99" customFormat="1" ht="36">
      <c r="A12" s="104" t="s">
        <v>95</v>
      </c>
      <c r="B12" s="127" t="s">
        <v>415</v>
      </c>
      <c r="C12" s="127" t="s">
        <v>12</v>
      </c>
      <c r="D12" s="127" t="s">
        <v>14</v>
      </c>
      <c r="E12" s="128"/>
      <c r="F12" s="128" t="s">
        <v>271</v>
      </c>
      <c r="G12" s="129">
        <f t="shared" ref="G12:H17" si="1">1824865.96</f>
        <v>1824865.96</v>
      </c>
      <c r="H12" s="129">
        <f t="shared" si="1"/>
        <v>1824865.96</v>
      </c>
      <c r="I12" s="130">
        <f t="shared" si="0"/>
        <v>100</v>
      </c>
    </row>
    <row r="13" spans="1:11" s="99" customFormat="1" ht="48">
      <c r="A13" s="104" t="s">
        <v>148</v>
      </c>
      <c r="B13" s="127" t="s">
        <v>415</v>
      </c>
      <c r="C13" s="127" t="s">
        <v>12</v>
      </c>
      <c r="D13" s="127" t="s">
        <v>14</v>
      </c>
      <c r="E13" s="128" t="s">
        <v>105</v>
      </c>
      <c r="F13" s="128" t="s">
        <v>271</v>
      </c>
      <c r="G13" s="129">
        <f t="shared" si="1"/>
        <v>1824865.96</v>
      </c>
      <c r="H13" s="129">
        <f t="shared" si="1"/>
        <v>1824865.96</v>
      </c>
      <c r="I13" s="130">
        <f t="shared" si="0"/>
        <v>100</v>
      </c>
    </row>
    <row r="14" spans="1:11" s="99" customFormat="1" ht="48">
      <c r="A14" s="104" t="s">
        <v>149</v>
      </c>
      <c r="B14" s="127" t="s">
        <v>415</v>
      </c>
      <c r="C14" s="127" t="s">
        <v>12</v>
      </c>
      <c r="D14" s="127" t="s">
        <v>14</v>
      </c>
      <c r="E14" s="128" t="s">
        <v>106</v>
      </c>
      <c r="F14" s="128" t="s">
        <v>271</v>
      </c>
      <c r="G14" s="129">
        <f t="shared" si="1"/>
        <v>1824865.96</v>
      </c>
      <c r="H14" s="129">
        <f t="shared" si="1"/>
        <v>1824865.96</v>
      </c>
      <c r="I14" s="130">
        <f t="shared" si="0"/>
        <v>100</v>
      </c>
    </row>
    <row r="15" spans="1:11" s="99" customFormat="1" ht="24">
      <c r="A15" s="104" t="s">
        <v>150</v>
      </c>
      <c r="B15" s="127" t="s">
        <v>415</v>
      </c>
      <c r="C15" s="127" t="s">
        <v>12</v>
      </c>
      <c r="D15" s="127" t="s">
        <v>14</v>
      </c>
      <c r="E15" s="128" t="s">
        <v>115</v>
      </c>
      <c r="F15" s="128" t="s">
        <v>271</v>
      </c>
      <c r="G15" s="129">
        <f t="shared" si="1"/>
        <v>1824865.96</v>
      </c>
      <c r="H15" s="129">
        <f t="shared" si="1"/>
        <v>1824865.96</v>
      </c>
      <c r="I15" s="130">
        <f t="shared" si="0"/>
        <v>100</v>
      </c>
    </row>
    <row r="16" spans="1:11" s="99" customFormat="1" ht="60">
      <c r="A16" s="104" t="s">
        <v>139</v>
      </c>
      <c r="B16" s="127" t="s">
        <v>415</v>
      </c>
      <c r="C16" s="127" t="s">
        <v>12</v>
      </c>
      <c r="D16" s="127" t="s">
        <v>14</v>
      </c>
      <c r="E16" s="128" t="s">
        <v>115</v>
      </c>
      <c r="F16" s="128" t="s">
        <v>151</v>
      </c>
      <c r="G16" s="129">
        <f t="shared" si="1"/>
        <v>1824865.96</v>
      </c>
      <c r="H16" s="129">
        <f t="shared" si="1"/>
        <v>1824865.96</v>
      </c>
      <c r="I16" s="130">
        <f t="shared" si="0"/>
        <v>100</v>
      </c>
    </row>
    <row r="17" spans="1:9" s="99" customFormat="1" ht="24">
      <c r="A17" s="104" t="s">
        <v>96</v>
      </c>
      <c r="B17" s="127" t="s">
        <v>415</v>
      </c>
      <c r="C17" s="127" t="s">
        <v>12</v>
      </c>
      <c r="D17" s="127" t="s">
        <v>14</v>
      </c>
      <c r="E17" s="128" t="s">
        <v>115</v>
      </c>
      <c r="F17" s="128" t="s">
        <v>152</v>
      </c>
      <c r="G17" s="129">
        <f t="shared" si="1"/>
        <v>1824865.96</v>
      </c>
      <c r="H17" s="129">
        <f t="shared" si="1"/>
        <v>1824865.96</v>
      </c>
      <c r="I17" s="130">
        <f t="shared" si="0"/>
        <v>100</v>
      </c>
    </row>
    <row r="18" spans="1:9" s="99" customFormat="1" ht="24">
      <c r="A18" s="104" t="s">
        <v>153</v>
      </c>
      <c r="B18" s="127" t="s">
        <v>415</v>
      </c>
      <c r="C18" s="127" t="s">
        <v>12</v>
      </c>
      <c r="D18" s="127" t="s">
        <v>14</v>
      </c>
      <c r="E18" s="128" t="s">
        <v>115</v>
      </c>
      <c r="F18" s="128" t="s">
        <v>154</v>
      </c>
      <c r="G18" s="129">
        <f>1412371.05</f>
        <v>1412371.05</v>
      </c>
      <c r="H18" s="129">
        <f>1412371.05</f>
        <v>1412371.05</v>
      </c>
      <c r="I18" s="130">
        <f t="shared" si="0"/>
        <v>100</v>
      </c>
    </row>
    <row r="19" spans="1:9" s="99" customFormat="1" ht="48">
      <c r="A19" s="104" t="s">
        <v>93</v>
      </c>
      <c r="B19" s="127" t="s">
        <v>415</v>
      </c>
      <c r="C19" s="127" t="s">
        <v>12</v>
      </c>
      <c r="D19" s="127" t="s">
        <v>14</v>
      </c>
      <c r="E19" s="128" t="s">
        <v>115</v>
      </c>
      <c r="F19" s="128" t="s">
        <v>155</v>
      </c>
      <c r="G19" s="129">
        <f>412494.91</f>
        <v>412494.91</v>
      </c>
      <c r="H19" s="129">
        <f>412494.91</f>
        <v>412494.91</v>
      </c>
      <c r="I19" s="130">
        <f t="shared" si="0"/>
        <v>100</v>
      </c>
    </row>
    <row r="20" spans="1:9" s="102" customFormat="1" ht="48">
      <c r="A20" s="105" t="s">
        <v>156</v>
      </c>
      <c r="B20" s="123" t="s">
        <v>415</v>
      </c>
      <c r="C20" s="127" t="s">
        <v>12</v>
      </c>
      <c r="D20" s="123" t="s">
        <v>15</v>
      </c>
      <c r="E20" s="124" t="s">
        <v>271</v>
      </c>
      <c r="F20" s="124" t="s">
        <v>271</v>
      </c>
      <c r="G20" s="125">
        <f t="shared" ref="G20:H23" si="2">10422345.31</f>
        <v>10422345.310000001</v>
      </c>
      <c r="H20" s="125">
        <f t="shared" si="2"/>
        <v>10422345.310000001</v>
      </c>
      <c r="I20" s="126">
        <f t="shared" si="0"/>
        <v>100</v>
      </c>
    </row>
    <row r="21" spans="1:9" s="99" customFormat="1" ht="48">
      <c r="A21" s="104" t="s">
        <v>148</v>
      </c>
      <c r="B21" s="127" t="s">
        <v>415</v>
      </c>
      <c r="C21" s="127" t="s">
        <v>12</v>
      </c>
      <c r="D21" s="127" t="s">
        <v>15</v>
      </c>
      <c r="E21" s="128" t="s">
        <v>105</v>
      </c>
      <c r="F21" s="128" t="s">
        <v>271</v>
      </c>
      <c r="G21" s="129">
        <f t="shared" si="2"/>
        <v>10422345.310000001</v>
      </c>
      <c r="H21" s="129">
        <f t="shared" si="2"/>
        <v>10422345.310000001</v>
      </c>
      <c r="I21" s="130">
        <f t="shared" si="0"/>
        <v>100</v>
      </c>
    </row>
    <row r="22" spans="1:9" s="99" customFormat="1" ht="48">
      <c r="A22" s="104" t="s">
        <v>149</v>
      </c>
      <c r="B22" s="127" t="s">
        <v>415</v>
      </c>
      <c r="C22" s="127" t="s">
        <v>12</v>
      </c>
      <c r="D22" s="127" t="s">
        <v>15</v>
      </c>
      <c r="E22" s="128" t="s">
        <v>106</v>
      </c>
      <c r="F22" s="128" t="s">
        <v>271</v>
      </c>
      <c r="G22" s="129">
        <f t="shared" si="2"/>
        <v>10422345.310000001</v>
      </c>
      <c r="H22" s="129">
        <f t="shared" si="2"/>
        <v>10422345.310000001</v>
      </c>
      <c r="I22" s="130">
        <f t="shared" si="0"/>
        <v>100</v>
      </c>
    </row>
    <row r="23" spans="1:9" s="99" customFormat="1" ht="60">
      <c r="A23" s="104" t="s">
        <v>139</v>
      </c>
      <c r="B23" s="127" t="s">
        <v>415</v>
      </c>
      <c r="C23" s="127" t="s">
        <v>12</v>
      </c>
      <c r="D23" s="127" t="s">
        <v>15</v>
      </c>
      <c r="E23" s="128" t="s">
        <v>116</v>
      </c>
      <c r="F23" s="128" t="s">
        <v>271</v>
      </c>
      <c r="G23" s="129">
        <f t="shared" si="2"/>
        <v>10422345.310000001</v>
      </c>
      <c r="H23" s="129">
        <f t="shared" si="2"/>
        <v>10422345.310000001</v>
      </c>
      <c r="I23" s="130">
        <f t="shared" si="0"/>
        <v>100</v>
      </c>
    </row>
    <row r="24" spans="1:9" s="99" customFormat="1" ht="60">
      <c r="A24" s="104" t="s">
        <v>139</v>
      </c>
      <c r="B24" s="127" t="s">
        <v>415</v>
      </c>
      <c r="C24" s="127" t="s">
        <v>12</v>
      </c>
      <c r="D24" s="127" t="s">
        <v>15</v>
      </c>
      <c r="E24" s="128" t="s">
        <v>116</v>
      </c>
      <c r="F24" s="128" t="s">
        <v>151</v>
      </c>
      <c r="G24" s="129">
        <f>10111648.31</f>
        <v>10111648.310000001</v>
      </c>
      <c r="H24" s="129">
        <f>10111648.31</f>
        <v>10111648.310000001</v>
      </c>
      <c r="I24" s="130">
        <f t="shared" si="0"/>
        <v>100</v>
      </c>
    </row>
    <row r="25" spans="1:9" s="99" customFormat="1" ht="24">
      <c r="A25" s="104" t="s">
        <v>96</v>
      </c>
      <c r="B25" s="127" t="s">
        <v>415</v>
      </c>
      <c r="C25" s="127" t="s">
        <v>12</v>
      </c>
      <c r="D25" s="127" t="s">
        <v>15</v>
      </c>
      <c r="E25" s="128" t="s">
        <v>116</v>
      </c>
      <c r="F25" s="128" t="s">
        <v>152</v>
      </c>
      <c r="G25" s="129">
        <f>10111648.31</f>
        <v>10111648.310000001</v>
      </c>
      <c r="H25" s="129">
        <f>10111648.31</f>
        <v>10111648.310000001</v>
      </c>
      <c r="I25" s="130">
        <f t="shared" si="0"/>
        <v>100</v>
      </c>
    </row>
    <row r="26" spans="1:9" s="99" customFormat="1" ht="24">
      <c r="A26" s="104" t="s">
        <v>153</v>
      </c>
      <c r="B26" s="127" t="s">
        <v>415</v>
      </c>
      <c r="C26" s="127" t="s">
        <v>12</v>
      </c>
      <c r="D26" s="127" t="s">
        <v>15</v>
      </c>
      <c r="E26" s="128" t="s">
        <v>116</v>
      </c>
      <c r="F26" s="128" t="s">
        <v>154</v>
      </c>
      <c r="G26" s="129">
        <f>7875594.4</f>
        <v>7875594.4000000004</v>
      </c>
      <c r="H26" s="129">
        <f>7875594.4</f>
        <v>7875594.4000000004</v>
      </c>
      <c r="I26" s="130">
        <f t="shared" si="0"/>
        <v>100</v>
      </c>
    </row>
    <row r="27" spans="1:9" s="99" customFormat="1" ht="48">
      <c r="A27" s="104" t="s">
        <v>93</v>
      </c>
      <c r="B27" s="127" t="s">
        <v>415</v>
      </c>
      <c r="C27" s="127" t="s">
        <v>12</v>
      </c>
      <c r="D27" s="127" t="s">
        <v>15</v>
      </c>
      <c r="E27" s="128" t="s">
        <v>116</v>
      </c>
      <c r="F27" s="128" t="s">
        <v>155</v>
      </c>
      <c r="G27" s="129">
        <f>2236053.91</f>
        <v>2236053.91</v>
      </c>
      <c r="H27" s="129">
        <f>2236053.91</f>
        <v>2236053.91</v>
      </c>
      <c r="I27" s="130">
        <f t="shared" si="0"/>
        <v>100</v>
      </c>
    </row>
    <row r="28" spans="1:9" s="99" customFormat="1" ht="12">
      <c r="A28" s="104" t="s">
        <v>64</v>
      </c>
      <c r="B28" s="127" t="s">
        <v>415</v>
      </c>
      <c r="C28" s="127" t="s">
        <v>12</v>
      </c>
      <c r="D28" s="127" t="s">
        <v>15</v>
      </c>
      <c r="E28" s="128" t="s">
        <v>116</v>
      </c>
      <c r="F28" s="128" t="s">
        <v>157</v>
      </c>
      <c r="G28" s="129">
        <f t="shared" ref="G28:H30" si="3">310697</f>
        <v>310697</v>
      </c>
      <c r="H28" s="129">
        <f t="shared" si="3"/>
        <v>310697</v>
      </c>
      <c r="I28" s="130">
        <f t="shared" si="0"/>
        <v>100</v>
      </c>
    </row>
    <row r="29" spans="1:9" s="99" customFormat="1" ht="12">
      <c r="A29" s="104" t="s">
        <v>25</v>
      </c>
      <c r="B29" s="127" t="s">
        <v>415</v>
      </c>
      <c r="C29" s="127" t="s">
        <v>12</v>
      </c>
      <c r="D29" s="127" t="s">
        <v>15</v>
      </c>
      <c r="E29" s="128" t="s">
        <v>116</v>
      </c>
      <c r="F29" s="128" t="s">
        <v>158</v>
      </c>
      <c r="G29" s="129">
        <f t="shared" si="3"/>
        <v>310697</v>
      </c>
      <c r="H29" s="129">
        <f t="shared" si="3"/>
        <v>310697</v>
      </c>
      <c r="I29" s="130">
        <f t="shared" si="0"/>
        <v>100</v>
      </c>
    </row>
    <row r="30" spans="1:9" s="99" customFormat="1" ht="12">
      <c r="A30" s="104" t="s">
        <v>25</v>
      </c>
      <c r="B30" s="127" t="s">
        <v>415</v>
      </c>
      <c r="C30" s="127" t="s">
        <v>12</v>
      </c>
      <c r="D30" s="127" t="s">
        <v>15</v>
      </c>
      <c r="E30" s="128" t="s">
        <v>116</v>
      </c>
      <c r="F30" s="128" t="s">
        <v>158</v>
      </c>
      <c r="G30" s="129">
        <f t="shared" si="3"/>
        <v>310697</v>
      </c>
      <c r="H30" s="129">
        <f t="shared" si="3"/>
        <v>310697</v>
      </c>
      <c r="I30" s="130">
        <f t="shared" si="0"/>
        <v>100</v>
      </c>
    </row>
    <row r="31" spans="1:9" s="102" customFormat="1" ht="24">
      <c r="A31" s="105" t="s">
        <v>120</v>
      </c>
      <c r="B31" s="123" t="s">
        <v>415</v>
      </c>
      <c r="C31" s="127" t="s">
        <v>12</v>
      </c>
      <c r="D31" s="123" t="s">
        <v>19</v>
      </c>
      <c r="E31" s="124" t="s">
        <v>271</v>
      </c>
      <c r="F31" s="124" t="s">
        <v>271</v>
      </c>
      <c r="G31" s="125">
        <f t="shared" ref="G31:H37" si="4">227901.7</f>
        <v>227901.7</v>
      </c>
      <c r="H31" s="125">
        <f t="shared" si="4"/>
        <v>227901.7</v>
      </c>
      <c r="I31" s="126">
        <f t="shared" si="0"/>
        <v>100</v>
      </c>
    </row>
    <row r="32" spans="1:9" s="99" customFormat="1" ht="48">
      <c r="A32" s="104" t="s">
        <v>148</v>
      </c>
      <c r="B32" s="127" t="s">
        <v>415</v>
      </c>
      <c r="C32" s="127" t="s">
        <v>12</v>
      </c>
      <c r="D32" s="127" t="s">
        <v>19</v>
      </c>
      <c r="E32" s="128" t="s">
        <v>105</v>
      </c>
      <c r="F32" s="128" t="s">
        <v>271</v>
      </c>
      <c r="G32" s="129">
        <f t="shared" si="4"/>
        <v>227901.7</v>
      </c>
      <c r="H32" s="129">
        <f t="shared" si="4"/>
        <v>227901.7</v>
      </c>
      <c r="I32" s="130">
        <f t="shared" si="0"/>
        <v>100</v>
      </c>
    </row>
    <row r="33" spans="1:9" s="99" customFormat="1" ht="24">
      <c r="A33" s="104" t="s">
        <v>370</v>
      </c>
      <c r="B33" s="127" t="s">
        <v>415</v>
      </c>
      <c r="C33" s="127" t="s">
        <v>12</v>
      </c>
      <c r="D33" s="127" t="s">
        <v>19</v>
      </c>
      <c r="E33" s="128" t="s">
        <v>159</v>
      </c>
      <c r="F33" s="128" t="s">
        <v>271</v>
      </c>
      <c r="G33" s="129">
        <f t="shared" si="4"/>
        <v>227901.7</v>
      </c>
      <c r="H33" s="129">
        <f t="shared" si="4"/>
        <v>227901.7</v>
      </c>
      <c r="I33" s="130">
        <f t="shared" si="0"/>
        <v>100</v>
      </c>
    </row>
    <row r="34" spans="1:9" s="99" customFormat="1" ht="36">
      <c r="A34" s="104" t="s">
        <v>178</v>
      </c>
      <c r="B34" s="127" t="s">
        <v>415</v>
      </c>
      <c r="C34" s="127" t="s">
        <v>12</v>
      </c>
      <c r="D34" s="127" t="s">
        <v>19</v>
      </c>
      <c r="E34" s="128" t="s">
        <v>367</v>
      </c>
      <c r="F34" s="128" t="s">
        <v>271</v>
      </c>
      <c r="G34" s="129">
        <f t="shared" si="4"/>
        <v>227901.7</v>
      </c>
      <c r="H34" s="129">
        <f t="shared" si="4"/>
        <v>227901.7</v>
      </c>
      <c r="I34" s="130">
        <f t="shared" si="0"/>
        <v>100</v>
      </c>
    </row>
    <row r="35" spans="1:9" s="99" customFormat="1" ht="24">
      <c r="A35" s="104" t="s">
        <v>94</v>
      </c>
      <c r="B35" s="127" t="s">
        <v>415</v>
      </c>
      <c r="C35" s="127" t="s">
        <v>12</v>
      </c>
      <c r="D35" s="127" t="s">
        <v>19</v>
      </c>
      <c r="E35" s="128" t="s">
        <v>367</v>
      </c>
      <c r="F35" s="128" t="s">
        <v>167</v>
      </c>
      <c r="G35" s="129">
        <f t="shared" si="4"/>
        <v>227901.7</v>
      </c>
      <c r="H35" s="129">
        <f t="shared" si="4"/>
        <v>227901.7</v>
      </c>
      <c r="I35" s="130">
        <f t="shared" si="0"/>
        <v>100</v>
      </c>
    </row>
    <row r="36" spans="1:9" s="99" customFormat="1" ht="36">
      <c r="A36" s="104" t="s">
        <v>137</v>
      </c>
      <c r="B36" s="127" t="s">
        <v>415</v>
      </c>
      <c r="C36" s="127" t="s">
        <v>12</v>
      </c>
      <c r="D36" s="127" t="s">
        <v>19</v>
      </c>
      <c r="E36" s="128" t="s">
        <v>367</v>
      </c>
      <c r="F36" s="128" t="s">
        <v>168</v>
      </c>
      <c r="G36" s="129">
        <f t="shared" si="4"/>
        <v>227901.7</v>
      </c>
      <c r="H36" s="129">
        <f t="shared" si="4"/>
        <v>227901.7</v>
      </c>
      <c r="I36" s="130">
        <f t="shared" si="0"/>
        <v>100</v>
      </c>
    </row>
    <row r="37" spans="1:9" s="99" customFormat="1" ht="12">
      <c r="A37" s="104" t="s">
        <v>138</v>
      </c>
      <c r="B37" s="127" t="s">
        <v>415</v>
      </c>
      <c r="C37" s="127" t="s">
        <v>12</v>
      </c>
      <c r="D37" s="127" t="s">
        <v>19</v>
      </c>
      <c r="E37" s="128" t="s">
        <v>367</v>
      </c>
      <c r="F37" s="128" t="s">
        <v>169</v>
      </c>
      <c r="G37" s="129">
        <f t="shared" si="4"/>
        <v>227901.7</v>
      </c>
      <c r="H37" s="129">
        <f t="shared" si="4"/>
        <v>227901.7</v>
      </c>
      <c r="I37" s="130">
        <f t="shared" si="0"/>
        <v>100</v>
      </c>
    </row>
    <row r="38" spans="1:9" s="102" customFormat="1" ht="12">
      <c r="A38" s="105" t="s">
        <v>3</v>
      </c>
      <c r="B38" s="123" t="s">
        <v>415</v>
      </c>
      <c r="C38" s="127" t="s">
        <v>12</v>
      </c>
      <c r="D38" s="123" t="s">
        <v>42</v>
      </c>
      <c r="E38" s="124" t="s">
        <v>271</v>
      </c>
      <c r="F38" s="124" t="s">
        <v>271</v>
      </c>
      <c r="G38" s="125">
        <f>18011896.06</f>
        <v>18011896.059999999</v>
      </c>
      <c r="H38" s="126">
        <v>17338196.25</v>
      </c>
      <c r="I38" s="126">
        <f t="shared" si="0"/>
        <v>96.259695216118189</v>
      </c>
    </row>
    <row r="39" spans="1:9" s="99" customFormat="1" ht="48">
      <c r="A39" s="104" t="s">
        <v>148</v>
      </c>
      <c r="B39" s="127" t="s">
        <v>415</v>
      </c>
      <c r="C39" s="127" t="s">
        <v>12</v>
      </c>
      <c r="D39" s="127" t="s">
        <v>42</v>
      </c>
      <c r="E39" s="128" t="s">
        <v>105</v>
      </c>
      <c r="F39" s="128" t="s">
        <v>271</v>
      </c>
      <c r="G39" s="129">
        <f>1938356.9</f>
        <v>1938356.9</v>
      </c>
      <c r="H39" s="130">
        <v>1582903.16</v>
      </c>
      <c r="I39" s="130">
        <f t="shared" si="0"/>
        <v>81.662110832117648</v>
      </c>
    </row>
    <row r="40" spans="1:9" s="99" customFormat="1" ht="48">
      <c r="A40" s="104" t="s">
        <v>149</v>
      </c>
      <c r="B40" s="127" t="s">
        <v>415</v>
      </c>
      <c r="C40" s="127" t="s">
        <v>12</v>
      </c>
      <c r="D40" s="127" t="s">
        <v>42</v>
      </c>
      <c r="E40" s="128" t="s">
        <v>106</v>
      </c>
      <c r="F40" s="128" t="s">
        <v>271</v>
      </c>
      <c r="G40" s="129">
        <f>154800</f>
        <v>154800</v>
      </c>
      <c r="H40" s="130">
        <v>4800</v>
      </c>
      <c r="I40" s="130">
        <f t="shared" si="0"/>
        <v>3.1007751937984498</v>
      </c>
    </row>
    <row r="41" spans="1:9" s="99" customFormat="1" ht="60">
      <c r="A41" s="104" t="s">
        <v>371</v>
      </c>
      <c r="B41" s="127" t="s">
        <v>415</v>
      </c>
      <c r="C41" s="127" t="s">
        <v>12</v>
      </c>
      <c r="D41" s="127" t="s">
        <v>42</v>
      </c>
      <c r="E41" s="128" t="s">
        <v>372</v>
      </c>
      <c r="F41" s="128" t="s">
        <v>271</v>
      </c>
      <c r="G41" s="129">
        <f t="shared" ref="G41:H44" si="5">4800</f>
        <v>4800</v>
      </c>
      <c r="H41" s="129">
        <f t="shared" si="5"/>
        <v>4800</v>
      </c>
      <c r="I41" s="130">
        <f t="shared" si="0"/>
        <v>100</v>
      </c>
    </row>
    <row r="42" spans="1:9" s="99" customFormat="1" ht="60">
      <c r="A42" s="104" t="s">
        <v>139</v>
      </c>
      <c r="B42" s="127" t="s">
        <v>415</v>
      </c>
      <c r="C42" s="127" t="s">
        <v>12</v>
      </c>
      <c r="D42" s="127" t="s">
        <v>42</v>
      </c>
      <c r="E42" s="128" t="s">
        <v>372</v>
      </c>
      <c r="F42" s="128" t="s">
        <v>151</v>
      </c>
      <c r="G42" s="129">
        <f t="shared" si="5"/>
        <v>4800</v>
      </c>
      <c r="H42" s="129">
        <f t="shared" si="5"/>
        <v>4800</v>
      </c>
      <c r="I42" s="130">
        <f>H42/G42*100</f>
        <v>100</v>
      </c>
    </row>
    <row r="43" spans="1:9" s="99" customFormat="1" ht="24">
      <c r="A43" s="104" t="s">
        <v>96</v>
      </c>
      <c r="B43" s="127" t="s">
        <v>415</v>
      </c>
      <c r="C43" s="127" t="s">
        <v>12</v>
      </c>
      <c r="D43" s="127" t="s">
        <v>42</v>
      </c>
      <c r="E43" s="128" t="s">
        <v>372</v>
      </c>
      <c r="F43" s="128" t="s">
        <v>152</v>
      </c>
      <c r="G43" s="129">
        <f t="shared" si="5"/>
        <v>4800</v>
      </c>
      <c r="H43" s="129">
        <f t="shared" si="5"/>
        <v>4800</v>
      </c>
      <c r="I43" s="130">
        <f>H43/G43*100</f>
        <v>100</v>
      </c>
    </row>
    <row r="44" spans="1:9" s="99" customFormat="1" ht="36">
      <c r="A44" s="104" t="s">
        <v>163</v>
      </c>
      <c r="B44" s="127" t="s">
        <v>415</v>
      </c>
      <c r="C44" s="127" t="s">
        <v>12</v>
      </c>
      <c r="D44" s="127" t="s">
        <v>42</v>
      </c>
      <c r="E44" s="128" t="s">
        <v>372</v>
      </c>
      <c r="F44" s="128" t="s">
        <v>162</v>
      </c>
      <c r="G44" s="129">
        <f t="shared" si="5"/>
        <v>4800</v>
      </c>
      <c r="H44" s="129">
        <f t="shared" si="5"/>
        <v>4800</v>
      </c>
      <c r="I44" s="130">
        <f>H44/G44*100</f>
        <v>100</v>
      </c>
    </row>
    <row r="45" spans="1:9" s="99" customFormat="1" ht="12">
      <c r="A45" s="104" t="s">
        <v>373</v>
      </c>
      <c r="B45" s="127" t="s">
        <v>415</v>
      </c>
      <c r="C45" s="127" t="s">
        <v>12</v>
      </c>
      <c r="D45" s="127" t="s">
        <v>42</v>
      </c>
      <c r="E45" s="128" t="s">
        <v>374</v>
      </c>
      <c r="F45" s="128" t="s">
        <v>271</v>
      </c>
      <c r="G45" s="129">
        <f>150000</f>
        <v>150000</v>
      </c>
      <c r="H45" s="130">
        <v>0</v>
      </c>
      <c r="I45" s="130">
        <f t="shared" si="0"/>
        <v>0</v>
      </c>
    </row>
    <row r="46" spans="1:9" s="99" customFormat="1" ht="12">
      <c r="A46" s="104" t="s">
        <v>66</v>
      </c>
      <c r="B46" s="127" t="s">
        <v>415</v>
      </c>
      <c r="C46" s="127" t="s">
        <v>12</v>
      </c>
      <c r="D46" s="127" t="s">
        <v>42</v>
      </c>
      <c r="E46" s="128" t="s">
        <v>374</v>
      </c>
      <c r="F46" s="128" t="s">
        <v>160</v>
      </c>
      <c r="G46" s="129">
        <f>150000</f>
        <v>150000</v>
      </c>
      <c r="H46" s="130">
        <v>0</v>
      </c>
      <c r="I46" s="130">
        <f t="shared" si="0"/>
        <v>0</v>
      </c>
    </row>
    <row r="47" spans="1:9" s="99" customFormat="1" ht="12">
      <c r="A47" s="104" t="s">
        <v>375</v>
      </c>
      <c r="B47" s="127" t="s">
        <v>415</v>
      </c>
      <c r="C47" s="127" t="s">
        <v>12</v>
      </c>
      <c r="D47" s="127" t="s">
        <v>42</v>
      </c>
      <c r="E47" s="128" t="s">
        <v>374</v>
      </c>
      <c r="F47" s="128" t="s">
        <v>376</v>
      </c>
      <c r="G47" s="129">
        <f>150000</f>
        <v>150000</v>
      </c>
      <c r="H47" s="130">
        <v>0</v>
      </c>
      <c r="I47" s="130">
        <f t="shared" ref="I47:I72" si="6">H47/G47*100</f>
        <v>0</v>
      </c>
    </row>
    <row r="48" spans="1:9" s="99" customFormat="1" ht="12">
      <c r="A48" s="104" t="s">
        <v>375</v>
      </c>
      <c r="B48" s="127" t="s">
        <v>415</v>
      </c>
      <c r="C48" s="127" t="s">
        <v>12</v>
      </c>
      <c r="D48" s="127" t="s">
        <v>42</v>
      </c>
      <c r="E48" s="128" t="s">
        <v>374</v>
      </c>
      <c r="F48" s="128" t="s">
        <v>376</v>
      </c>
      <c r="G48" s="129">
        <f>150000</f>
        <v>150000</v>
      </c>
      <c r="H48" s="130">
        <v>0</v>
      </c>
      <c r="I48" s="130">
        <f t="shared" si="6"/>
        <v>0</v>
      </c>
    </row>
    <row r="49" spans="1:9" s="99" customFormat="1" ht="36">
      <c r="A49" s="104" t="s">
        <v>377</v>
      </c>
      <c r="B49" s="127" t="s">
        <v>415</v>
      </c>
      <c r="C49" s="127" t="s">
        <v>12</v>
      </c>
      <c r="D49" s="127" t="s">
        <v>42</v>
      </c>
      <c r="E49" s="128" t="s">
        <v>118</v>
      </c>
      <c r="F49" s="128" t="s">
        <v>271</v>
      </c>
      <c r="G49" s="129">
        <f t="shared" ref="G49:H53" si="7">294648.76</f>
        <v>294648.76</v>
      </c>
      <c r="H49" s="129">
        <f t="shared" si="7"/>
        <v>294648.76</v>
      </c>
      <c r="I49" s="130">
        <f t="shared" si="6"/>
        <v>100</v>
      </c>
    </row>
    <row r="50" spans="1:9" s="99" customFormat="1" ht="24">
      <c r="A50" s="104" t="s">
        <v>165</v>
      </c>
      <c r="B50" s="127" t="s">
        <v>415</v>
      </c>
      <c r="C50" s="127" t="s">
        <v>12</v>
      </c>
      <c r="D50" s="127" t="s">
        <v>42</v>
      </c>
      <c r="E50" s="128" t="s">
        <v>161</v>
      </c>
      <c r="F50" s="128" t="s">
        <v>271</v>
      </c>
      <c r="G50" s="129">
        <f t="shared" si="7"/>
        <v>294648.76</v>
      </c>
      <c r="H50" s="129">
        <f t="shared" si="7"/>
        <v>294648.76</v>
      </c>
      <c r="I50" s="130">
        <f t="shared" si="6"/>
        <v>100</v>
      </c>
    </row>
    <row r="51" spans="1:9" s="99" customFormat="1" ht="60">
      <c r="A51" s="104" t="s">
        <v>139</v>
      </c>
      <c r="B51" s="127" t="s">
        <v>415</v>
      </c>
      <c r="C51" s="127" t="s">
        <v>12</v>
      </c>
      <c r="D51" s="127" t="s">
        <v>42</v>
      </c>
      <c r="E51" s="128" t="s">
        <v>161</v>
      </c>
      <c r="F51" s="128" t="s">
        <v>151</v>
      </c>
      <c r="G51" s="129">
        <f t="shared" si="7"/>
        <v>294648.76</v>
      </c>
      <c r="H51" s="129">
        <f t="shared" si="7"/>
        <v>294648.76</v>
      </c>
      <c r="I51" s="130">
        <f t="shared" si="6"/>
        <v>100</v>
      </c>
    </row>
    <row r="52" spans="1:9" s="99" customFormat="1" ht="24">
      <c r="A52" s="104" t="s">
        <v>96</v>
      </c>
      <c r="B52" s="127" t="s">
        <v>415</v>
      </c>
      <c r="C52" s="127" t="s">
        <v>12</v>
      </c>
      <c r="D52" s="127" t="s">
        <v>42</v>
      </c>
      <c r="E52" s="128" t="s">
        <v>161</v>
      </c>
      <c r="F52" s="128" t="s">
        <v>152</v>
      </c>
      <c r="G52" s="129">
        <f t="shared" si="7"/>
        <v>294648.76</v>
      </c>
      <c r="H52" s="129">
        <f t="shared" si="7"/>
        <v>294648.76</v>
      </c>
      <c r="I52" s="130">
        <f t="shared" si="6"/>
        <v>100</v>
      </c>
    </row>
    <row r="53" spans="1:9" s="99" customFormat="1" ht="36">
      <c r="A53" s="104" t="s">
        <v>163</v>
      </c>
      <c r="B53" s="127" t="s">
        <v>415</v>
      </c>
      <c r="C53" s="127" t="s">
        <v>12</v>
      </c>
      <c r="D53" s="127" t="s">
        <v>42</v>
      </c>
      <c r="E53" s="128" t="s">
        <v>161</v>
      </c>
      <c r="F53" s="128" t="s">
        <v>162</v>
      </c>
      <c r="G53" s="129">
        <f t="shared" si="7"/>
        <v>294648.76</v>
      </c>
      <c r="H53" s="129">
        <f t="shared" si="7"/>
        <v>294648.76</v>
      </c>
      <c r="I53" s="130">
        <f t="shared" si="6"/>
        <v>100</v>
      </c>
    </row>
    <row r="54" spans="1:9" s="99" customFormat="1" ht="24">
      <c r="A54" s="104" t="s">
        <v>378</v>
      </c>
      <c r="B54" s="127" t="s">
        <v>415</v>
      </c>
      <c r="C54" s="127" t="s">
        <v>12</v>
      </c>
      <c r="D54" s="127" t="s">
        <v>42</v>
      </c>
      <c r="E54" s="128" t="s">
        <v>164</v>
      </c>
      <c r="F54" s="128" t="s">
        <v>271</v>
      </c>
      <c r="G54" s="129">
        <f>1488908.14</f>
        <v>1488908.14</v>
      </c>
      <c r="H54" s="130">
        <f>H55</f>
        <v>1283454.3999999999</v>
      </c>
      <c r="I54" s="130">
        <f t="shared" si="6"/>
        <v>86.201046627362786</v>
      </c>
    </row>
    <row r="55" spans="1:9" s="99" customFormat="1" ht="24">
      <c r="A55" s="104" t="s">
        <v>165</v>
      </c>
      <c r="B55" s="127" t="s">
        <v>415</v>
      </c>
      <c r="C55" s="127" t="s">
        <v>12</v>
      </c>
      <c r="D55" s="127" t="s">
        <v>42</v>
      </c>
      <c r="E55" s="128" t="s">
        <v>166</v>
      </c>
      <c r="F55" s="128" t="s">
        <v>271</v>
      </c>
      <c r="G55" s="129">
        <f>1488908.14</f>
        <v>1488908.14</v>
      </c>
      <c r="H55" s="130">
        <f>H56+H60</f>
        <v>1283454.3999999999</v>
      </c>
      <c r="I55" s="130">
        <f t="shared" si="6"/>
        <v>86.201046627362786</v>
      </c>
    </row>
    <row r="56" spans="1:9" s="99" customFormat="1" ht="24">
      <c r="A56" s="104" t="s">
        <v>94</v>
      </c>
      <c r="B56" s="127" t="s">
        <v>415</v>
      </c>
      <c r="C56" s="127" t="s">
        <v>12</v>
      </c>
      <c r="D56" s="127" t="s">
        <v>42</v>
      </c>
      <c r="E56" s="128" t="s">
        <v>166</v>
      </c>
      <c r="F56" s="128" t="s">
        <v>167</v>
      </c>
      <c r="G56" s="129">
        <f>1450908.14</f>
        <v>1450908.14</v>
      </c>
      <c r="H56" s="130">
        <f>H57</f>
        <v>1245454.3999999999</v>
      </c>
      <c r="I56" s="130">
        <f t="shared" si="6"/>
        <v>85.839645230744935</v>
      </c>
    </row>
    <row r="57" spans="1:9" s="99" customFormat="1" ht="36">
      <c r="A57" s="104" t="s">
        <v>137</v>
      </c>
      <c r="B57" s="127" t="s">
        <v>415</v>
      </c>
      <c r="C57" s="127" t="s">
        <v>12</v>
      </c>
      <c r="D57" s="127" t="s">
        <v>42</v>
      </c>
      <c r="E57" s="128" t="s">
        <v>166</v>
      </c>
      <c r="F57" s="128" t="s">
        <v>168</v>
      </c>
      <c r="G57" s="129">
        <f>1450908.14</f>
        <v>1450908.14</v>
      </c>
      <c r="H57" s="130">
        <f>H58+H59</f>
        <v>1245454.3999999999</v>
      </c>
      <c r="I57" s="130">
        <f t="shared" si="6"/>
        <v>85.839645230744935</v>
      </c>
    </row>
    <row r="58" spans="1:9" s="99" customFormat="1" ht="12">
      <c r="A58" s="104" t="s">
        <v>138</v>
      </c>
      <c r="B58" s="127" t="s">
        <v>415</v>
      </c>
      <c r="C58" s="127" t="s">
        <v>12</v>
      </c>
      <c r="D58" s="127" t="s">
        <v>42</v>
      </c>
      <c r="E58" s="128" t="s">
        <v>166</v>
      </c>
      <c r="F58" s="128" t="s">
        <v>169</v>
      </c>
      <c r="G58" s="129">
        <f>1276596.92</f>
        <v>1276596.92</v>
      </c>
      <c r="H58" s="130">
        <v>1096970.75</v>
      </c>
      <c r="I58" s="130">
        <f t="shared" si="6"/>
        <v>85.929296304427865</v>
      </c>
    </row>
    <row r="59" spans="1:9" s="99" customFormat="1" ht="12">
      <c r="A59" s="104" t="s">
        <v>379</v>
      </c>
      <c r="B59" s="127" t="s">
        <v>415</v>
      </c>
      <c r="C59" s="127" t="s">
        <v>12</v>
      </c>
      <c r="D59" s="127" t="s">
        <v>42</v>
      </c>
      <c r="E59" s="128" t="s">
        <v>166</v>
      </c>
      <c r="F59" s="128" t="s">
        <v>380</v>
      </c>
      <c r="G59" s="129">
        <f>174311.22</f>
        <v>174311.22</v>
      </c>
      <c r="H59" s="130">
        <v>148483.65</v>
      </c>
      <c r="I59" s="130">
        <f t="shared" si="6"/>
        <v>85.183070831585013</v>
      </c>
    </row>
    <row r="60" spans="1:9" s="99" customFormat="1" ht="12">
      <c r="A60" s="104" t="s">
        <v>66</v>
      </c>
      <c r="B60" s="127" t="s">
        <v>415</v>
      </c>
      <c r="C60" s="127" t="s">
        <v>12</v>
      </c>
      <c r="D60" s="127" t="s">
        <v>42</v>
      </c>
      <c r="E60" s="128" t="s">
        <v>166</v>
      </c>
      <c r="F60" s="128" t="s">
        <v>160</v>
      </c>
      <c r="G60" s="129">
        <f>38000</f>
        <v>38000</v>
      </c>
      <c r="H60" s="129">
        <f>38000</f>
        <v>38000</v>
      </c>
      <c r="I60" s="130">
        <f t="shared" si="6"/>
        <v>100</v>
      </c>
    </row>
    <row r="61" spans="1:9" s="99" customFormat="1" ht="12">
      <c r="A61" s="104" t="s">
        <v>134</v>
      </c>
      <c r="B61" s="127" t="s">
        <v>415</v>
      </c>
      <c r="C61" s="127" t="s">
        <v>12</v>
      </c>
      <c r="D61" s="127" t="s">
        <v>42</v>
      </c>
      <c r="E61" s="128" t="s">
        <v>166</v>
      </c>
      <c r="F61" s="128" t="s">
        <v>170</v>
      </c>
      <c r="G61" s="129">
        <f>9000</f>
        <v>9000</v>
      </c>
      <c r="H61" s="129">
        <f>9000</f>
        <v>9000</v>
      </c>
      <c r="I61" s="130">
        <f t="shared" si="6"/>
        <v>100</v>
      </c>
    </row>
    <row r="62" spans="1:9" s="99" customFormat="1" ht="36">
      <c r="A62" s="104" t="s">
        <v>171</v>
      </c>
      <c r="B62" s="127" t="s">
        <v>415</v>
      </c>
      <c r="C62" s="127" t="s">
        <v>12</v>
      </c>
      <c r="D62" s="127" t="s">
        <v>42</v>
      </c>
      <c r="E62" s="128" t="s">
        <v>166</v>
      </c>
      <c r="F62" s="128" t="s">
        <v>172</v>
      </c>
      <c r="G62" s="129">
        <f>9000</f>
        <v>9000</v>
      </c>
      <c r="H62" s="129">
        <f>9000</f>
        <v>9000</v>
      </c>
      <c r="I62" s="130">
        <f t="shared" si="6"/>
        <v>100</v>
      </c>
    </row>
    <row r="63" spans="1:9" s="99" customFormat="1" ht="12">
      <c r="A63" s="104" t="s">
        <v>97</v>
      </c>
      <c r="B63" s="127" t="s">
        <v>415</v>
      </c>
      <c r="C63" s="127" t="s">
        <v>12</v>
      </c>
      <c r="D63" s="127" t="s">
        <v>42</v>
      </c>
      <c r="E63" s="128" t="s">
        <v>166</v>
      </c>
      <c r="F63" s="128" t="s">
        <v>173</v>
      </c>
      <c r="G63" s="129">
        <f>29000</f>
        <v>29000</v>
      </c>
      <c r="H63" s="129">
        <f>29000</f>
        <v>29000</v>
      </c>
      <c r="I63" s="130">
        <f t="shared" si="6"/>
        <v>100</v>
      </c>
    </row>
    <row r="64" spans="1:9" s="99" customFormat="1" ht="24">
      <c r="A64" s="104" t="s">
        <v>174</v>
      </c>
      <c r="B64" s="127" t="s">
        <v>415</v>
      </c>
      <c r="C64" s="127" t="s">
        <v>12</v>
      </c>
      <c r="D64" s="127" t="s">
        <v>42</v>
      </c>
      <c r="E64" s="128" t="s">
        <v>166</v>
      </c>
      <c r="F64" s="128" t="s">
        <v>175</v>
      </c>
      <c r="G64" s="129">
        <f>16000</f>
        <v>16000</v>
      </c>
      <c r="H64" s="129">
        <f>16000</f>
        <v>16000</v>
      </c>
      <c r="I64" s="130">
        <f t="shared" si="6"/>
        <v>100</v>
      </c>
    </row>
    <row r="65" spans="1:9" s="99" customFormat="1" ht="12">
      <c r="A65" s="104" t="s">
        <v>176</v>
      </c>
      <c r="B65" s="127" t="s">
        <v>415</v>
      </c>
      <c r="C65" s="127" t="s">
        <v>12</v>
      </c>
      <c r="D65" s="127" t="s">
        <v>42</v>
      </c>
      <c r="E65" s="128" t="s">
        <v>166</v>
      </c>
      <c r="F65" s="128" t="s">
        <v>177</v>
      </c>
      <c r="G65" s="129">
        <f>13000</f>
        <v>13000</v>
      </c>
      <c r="H65" s="129">
        <f>13000</f>
        <v>13000</v>
      </c>
      <c r="I65" s="130">
        <f t="shared" si="6"/>
        <v>100</v>
      </c>
    </row>
    <row r="66" spans="1:9" s="99" customFormat="1" ht="48">
      <c r="A66" s="104" t="s">
        <v>179</v>
      </c>
      <c r="B66" s="127" t="s">
        <v>415</v>
      </c>
      <c r="C66" s="127" t="s">
        <v>12</v>
      </c>
      <c r="D66" s="127" t="s">
        <v>42</v>
      </c>
      <c r="E66" s="128" t="s">
        <v>180</v>
      </c>
      <c r="F66" s="128" t="s">
        <v>271</v>
      </c>
      <c r="G66" s="129">
        <f>16073539.16</f>
        <v>16073539.16</v>
      </c>
      <c r="H66" s="129">
        <v>15755293.09</v>
      </c>
      <c r="I66" s="130">
        <f t="shared" si="6"/>
        <v>98.020062247448436</v>
      </c>
    </row>
    <row r="67" spans="1:9" s="99" customFormat="1" ht="48">
      <c r="A67" s="104" t="s">
        <v>149</v>
      </c>
      <c r="B67" s="127" t="s">
        <v>415</v>
      </c>
      <c r="C67" s="127" t="s">
        <v>12</v>
      </c>
      <c r="D67" s="127" t="s">
        <v>42</v>
      </c>
      <c r="E67" s="128" t="s">
        <v>181</v>
      </c>
      <c r="F67" s="128" t="s">
        <v>271</v>
      </c>
      <c r="G67" s="129">
        <f t="shared" ref="G67:H70" si="8">9750272.51</f>
        <v>9750272.5099999998</v>
      </c>
      <c r="H67" s="129">
        <f t="shared" si="8"/>
        <v>9750272.5099999998</v>
      </c>
      <c r="I67" s="130">
        <f t="shared" si="6"/>
        <v>100</v>
      </c>
    </row>
    <row r="68" spans="1:9" s="99" customFormat="1" ht="24">
      <c r="A68" s="104" t="s">
        <v>381</v>
      </c>
      <c r="B68" s="127" t="s">
        <v>415</v>
      </c>
      <c r="C68" s="127" t="s">
        <v>12</v>
      </c>
      <c r="D68" s="127" t="s">
        <v>42</v>
      </c>
      <c r="E68" s="128" t="s">
        <v>182</v>
      </c>
      <c r="F68" s="128" t="s">
        <v>271</v>
      </c>
      <c r="G68" s="129">
        <f t="shared" si="8"/>
        <v>9750272.5099999998</v>
      </c>
      <c r="H68" s="129">
        <f t="shared" si="8"/>
        <v>9750272.5099999998</v>
      </c>
      <c r="I68" s="130">
        <f t="shared" si="6"/>
        <v>100</v>
      </c>
    </row>
    <row r="69" spans="1:9" s="99" customFormat="1" ht="60">
      <c r="A69" s="104" t="s">
        <v>139</v>
      </c>
      <c r="B69" s="127" t="s">
        <v>415</v>
      </c>
      <c r="C69" s="127" t="s">
        <v>12</v>
      </c>
      <c r="D69" s="127" t="s">
        <v>42</v>
      </c>
      <c r="E69" s="128" t="s">
        <v>182</v>
      </c>
      <c r="F69" s="128" t="s">
        <v>151</v>
      </c>
      <c r="G69" s="129">
        <f t="shared" si="8"/>
        <v>9750272.5099999998</v>
      </c>
      <c r="H69" s="129">
        <f t="shared" si="8"/>
        <v>9750272.5099999998</v>
      </c>
      <c r="I69" s="130">
        <f t="shared" si="6"/>
        <v>100</v>
      </c>
    </row>
    <row r="70" spans="1:9" s="99" customFormat="1" ht="24">
      <c r="A70" s="104" t="s">
        <v>183</v>
      </c>
      <c r="B70" s="127" t="s">
        <v>415</v>
      </c>
      <c r="C70" s="127" t="s">
        <v>12</v>
      </c>
      <c r="D70" s="127" t="s">
        <v>42</v>
      </c>
      <c r="E70" s="128" t="s">
        <v>182</v>
      </c>
      <c r="F70" s="128" t="s">
        <v>184</v>
      </c>
      <c r="G70" s="129">
        <f t="shared" si="8"/>
        <v>9750272.5099999998</v>
      </c>
      <c r="H70" s="129">
        <f t="shared" si="8"/>
        <v>9750272.5099999998</v>
      </c>
      <c r="I70" s="130">
        <f t="shared" si="6"/>
        <v>100</v>
      </c>
    </row>
    <row r="71" spans="1:9" s="99" customFormat="1" ht="12">
      <c r="A71" s="104" t="s">
        <v>135</v>
      </c>
      <c r="B71" s="127" t="s">
        <v>415</v>
      </c>
      <c r="C71" s="127" t="s">
        <v>12</v>
      </c>
      <c r="D71" s="127" t="s">
        <v>42</v>
      </c>
      <c r="E71" s="128" t="s">
        <v>182</v>
      </c>
      <c r="F71" s="128" t="s">
        <v>185</v>
      </c>
      <c r="G71" s="129">
        <f>7577029.18</f>
        <v>7577029.1799999997</v>
      </c>
      <c r="H71" s="129">
        <f>7577029.18</f>
        <v>7577029.1799999997</v>
      </c>
      <c r="I71" s="130">
        <f t="shared" si="6"/>
        <v>100</v>
      </c>
    </row>
    <row r="72" spans="1:9" s="99" customFormat="1" ht="36">
      <c r="A72" s="104" t="s">
        <v>188</v>
      </c>
      <c r="B72" s="127" t="s">
        <v>415</v>
      </c>
      <c r="C72" s="127" t="s">
        <v>12</v>
      </c>
      <c r="D72" s="127" t="s">
        <v>42</v>
      </c>
      <c r="E72" s="128" t="s">
        <v>182</v>
      </c>
      <c r="F72" s="128" t="s">
        <v>189</v>
      </c>
      <c r="G72" s="129">
        <f>2173243.33</f>
        <v>2173243.33</v>
      </c>
      <c r="H72" s="129">
        <f>2173243.33</f>
        <v>2173243.33</v>
      </c>
      <c r="I72" s="130">
        <f t="shared" si="6"/>
        <v>100</v>
      </c>
    </row>
    <row r="73" spans="1:9" s="99" customFormat="1" ht="36">
      <c r="A73" s="104" t="s">
        <v>382</v>
      </c>
      <c r="B73" s="127" t="s">
        <v>415</v>
      </c>
      <c r="C73" s="127" t="s">
        <v>12</v>
      </c>
      <c r="D73" s="127" t="s">
        <v>42</v>
      </c>
      <c r="E73" s="128" t="s">
        <v>190</v>
      </c>
      <c r="F73" s="128" t="s">
        <v>271</v>
      </c>
      <c r="G73" s="129">
        <f t="shared" ref="G73:H77" si="9">58580.54</f>
        <v>58580.54</v>
      </c>
      <c r="H73" s="129">
        <f t="shared" si="9"/>
        <v>58580.54</v>
      </c>
      <c r="I73" s="130">
        <f t="shared" ref="I73:I98" si="10">H73/G73*100</f>
        <v>100</v>
      </c>
    </row>
    <row r="74" spans="1:9" s="99" customFormat="1" ht="24">
      <c r="A74" s="104" t="s">
        <v>187</v>
      </c>
      <c r="B74" s="127" t="s">
        <v>415</v>
      </c>
      <c r="C74" s="127" t="s">
        <v>12</v>
      </c>
      <c r="D74" s="127" t="s">
        <v>42</v>
      </c>
      <c r="E74" s="128" t="s">
        <v>191</v>
      </c>
      <c r="F74" s="128" t="s">
        <v>271</v>
      </c>
      <c r="G74" s="129">
        <f t="shared" si="9"/>
        <v>58580.54</v>
      </c>
      <c r="H74" s="129">
        <f t="shared" si="9"/>
        <v>58580.54</v>
      </c>
      <c r="I74" s="130">
        <f t="shared" si="10"/>
        <v>100</v>
      </c>
    </row>
    <row r="75" spans="1:9" s="99" customFormat="1" ht="60">
      <c r="A75" s="104" t="s">
        <v>139</v>
      </c>
      <c r="B75" s="127" t="s">
        <v>415</v>
      </c>
      <c r="C75" s="127" t="s">
        <v>12</v>
      </c>
      <c r="D75" s="127" t="s">
        <v>42</v>
      </c>
      <c r="E75" s="128" t="s">
        <v>191</v>
      </c>
      <c r="F75" s="128" t="s">
        <v>151</v>
      </c>
      <c r="G75" s="129">
        <f t="shared" si="9"/>
        <v>58580.54</v>
      </c>
      <c r="H75" s="129">
        <f t="shared" si="9"/>
        <v>58580.54</v>
      </c>
      <c r="I75" s="130">
        <f t="shared" si="10"/>
        <v>100</v>
      </c>
    </row>
    <row r="76" spans="1:9" s="99" customFormat="1" ht="24">
      <c r="A76" s="104" t="s">
        <v>183</v>
      </c>
      <c r="B76" s="127" t="s">
        <v>415</v>
      </c>
      <c r="C76" s="127" t="s">
        <v>12</v>
      </c>
      <c r="D76" s="127" t="s">
        <v>42</v>
      </c>
      <c r="E76" s="128" t="s">
        <v>191</v>
      </c>
      <c r="F76" s="128" t="s">
        <v>184</v>
      </c>
      <c r="G76" s="129">
        <f t="shared" si="9"/>
        <v>58580.54</v>
      </c>
      <c r="H76" s="129">
        <f t="shared" si="9"/>
        <v>58580.54</v>
      </c>
      <c r="I76" s="130">
        <f t="shared" si="10"/>
        <v>100</v>
      </c>
    </row>
    <row r="77" spans="1:9" s="99" customFormat="1" ht="24">
      <c r="A77" s="104" t="s">
        <v>187</v>
      </c>
      <c r="B77" s="127" t="s">
        <v>415</v>
      </c>
      <c r="C77" s="127" t="s">
        <v>12</v>
      </c>
      <c r="D77" s="127" t="s">
        <v>42</v>
      </c>
      <c r="E77" s="128" t="s">
        <v>191</v>
      </c>
      <c r="F77" s="128" t="s">
        <v>186</v>
      </c>
      <c r="G77" s="129">
        <f t="shared" si="9"/>
        <v>58580.54</v>
      </c>
      <c r="H77" s="129">
        <f t="shared" si="9"/>
        <v>58580.54</v>
      </c>
      <c r="I77" s="130">
        <f t="shared" si="10"/>
        <v>100</v>
      </c>
    </row>
    <row r="78" spans="1:9" s="99" customFormat="1" ht="36">
      <c r="A78" s="104" t="s">
        <v>192</v>
      </c>
      <c r="B78" s="127" t="s">
        <v>415</v>
      </c>
      <c r="C78" s="127" t="s">
        <v>12</v>
      </c>
      <c r="D78" s="127" t="s">
        <v>42</v>
      </c>
      <c r="E78" s="128" t="s">
        <v>193</v>
      </c>
      <c r="F78" s="128" t="s">
        <v>271</v>
      </c>
      <c r="G78" s="129">
        <f>1258492.35</f>
        <v>1258492.3500000001</v>
      </c>
      <c r="H78" s="130">
        <f>H79</f>
        <v>1130314.69</v>
      </c>
      <c r="I78" s="130">
        <f t="shared" si="10"/>
        <v>89.814982983408669</v>
      </c>
    </row>
    <row r="79" spans="1:9" s="99" customFormat="1" ht="24">
      <c r="A79" s="104" t="s">
        <v>381</v>
      </c>
      <c r="B79" s="127" t="s">
        <v>415</v>
      </c>
      <c r="C79" s="127" t="s">
        <v>12</v>
      </c>
      <c r="D79" s="127" t="s">
        <v>42</v>
      </c>
      <c r="E79" s="128" t="s">
        <v>194</v>
      </c>
      <c r="F79" s="128" t="s">
        <v>271</v>
      </c>
      <c r="G79" s="129">
        <f>1258492.35</f>
        <v>1258492.3500000001</v>
      </c>
      <c r="H79" s="130">
        <f>H80+H83</f>
        <v>1130314.69</v>
      </c>
      <c r="I79" s="130">
        <f t="shared" si="10"/>
        <v>89.814982983408669</v>
      </c>
    </row>
    <row r="80" spans="1:9" s="99" customFormat="1" ht="24">
      <c r="A80" s="104" t="s">
        <v>94</v>
      </c>
      <c r="B80" s="127" t="s">
        <v>415</v>
      </c>
      <c r="C80" s="127" t="s">
        <v>12</v>
      </c>
      <c r="D80" s="127" t="s">
        <v>42</v>
      </c>
      <c r="E80" s="128" t="s">
        <v>194</v>
      </c>
      <c r="F80" s="128" t="s">
        <v>167</v>
      </c>
      <c r="G80" s="129">
        <f>1255992.35</f>
        <v>1255992.3500000001</v>
      </c>
      <c r="H80" s="130">
        <v>1127814.69</v>
      </c>
      <c r="I80" s="130">
        <f t="shared" si="10"/>
        <v>89.794710134978118</v>
      </c>
    </row>
    <row r="81" spans="1:9" s="99" customFormat="1" ht="36">
      <c r="A81" s="104" t="s">
        <v>137</v>
      </c>
      <c r="B81" s="127" t="s">
        <v>415</v>
      </c>
      <c r="C81" s="127" t="s">
        <v>12</v>
      </c>
      <c r="D81" s="127" t="s">
        <v>42</v>
      </c>
      <c r="E81" s="128" t="s">
        <v>194</v>
      </c>
      <c r="F81" s="128" t="s">
        <v>168</v>
      </c>
      <c r="G81" s="129">
        <f>1255992.35</f>
        <v>1255992.3500000001</v>
      </c>
      <c r="H81" s="130">
        <v>1127814.69</v>
      </c>
      <c r="I81" s="130">
        <f t="shared" si="10"/>
        <v>89.794710134978118</v>
      </c>
    </row>
    <row r="82" spans="1:9" s="99" customFormat="1" ht="12">
      <c r="A82" s="104" t="s">
        <v>138</v>
      </c>
      <c r="B82" s="127" t="s">
        <v>415</v>
      </c>
      <c r="C82" s="127" t="s">
        <v>12</v>
      </c>
      <c r="D82" s="127" t="s">
        <v>42</v>
      </c>
      <c r="E82" s="128" t="s">
        <v>194</v>
      </c>
      <c r="F82" s="128" t="s">
        <v>169</v>
      </c>
      <c r="G82" s="129">
        <f>1255992.35</f>
        <v>1255992.3500000001</v>
      </c>
      <c r="H82" s="130">
        <v>1127814.69</v>
      </c>
      <c r="I82" s="130">
        <f t="shared" si="10"/>
        <v>89.794710134978118</v>
      </c>
    </row>
    <row r="83" spans="1:9" s="99" customFormat="1" ht="12">
      <c r="A83" s="104" t="s">
        <v>66</v>
      </c>
      <c r="B83" s="127" t="s">
        <v>415</v>
      </c>
      <c r="C83" s="127" t="s">
        <v>12</v>
      </c>
      <c r="D83" s="127" t="s">
        <v>42</v>
      </c>
      <c r="E83" s="128" t="s">
        <v>194</v>
      </c>
      <c r="F83" s="128" t="s">
        <v>160</v>
      </c>
      <c r="G83" s="129">
        <f t="shared" ref="G83:H85" si="11">2500</f>
        <v>2500</v>
      </c>
      <c r="H83" s="129">
        <f t="shared" si="11"/>
        <v>2500</v>
      </c>
      <c r="I83" s="130">
        <f t="shared" si="10"/>
        <v>100</v>
      </c>
    </row>
    <row r="84" spans="1:9" s="99" customFormat="1" ht="12">
      <c r="A84" s="104" t="s">
        <v>97</v>
      </c>
      <c r="B84" s="127" t="s">
        <v>415</v>
      </c>
      <c r="C84" s="127" t="s">
        <v>12</v>
      </c>
      <c r="D84" s="127" t="s">
        <v>42</v>
      </c>
      <c r="E84" s="128" t="s">
        <v>194</v>
      </c>
      <c r="F84" s="128" t="s">
        <v>173</v>
      </c>
      <c r="G84" s="129">
        <f t="shared" si="11"/>
        <v>2500</v>
      </c>
      <c r="H84" s="129">
        <f t="shared" si="11"/>
        <v>2500</v>
      </c>
      <c r="I84" s="130">
        <f t="shared" si="10"/>
        <v>100</v>
      </c>
    </row>
    <row r="85" spans="1:9" s="99" customFormat="1" ht="12">
      <c r="A85" s="104" t="s">
        <v>176</v>
      </c>
      <c r="B85" s="127" t="s">
        <v>415</v>
      </c>
      <c r="C85" s="127" t="s">
        <v>12</v>
      </c>
      <c r="D85" s="127" t="s">
        <v>42</v>
      </c>
      <c r="E85" s="128" t="s">
        <v>194</v>
      </c>
      <c r="F85" s="128" t="s">
        <v>177</v>
      </c>
      <c r="G85" s="129">
        <f t="shared" si="11"/>
        <v>2500</v>
      </c>
      <c r="H85" s="129">
        <f t="shared" si="11"/>
        <v>2500</v>
      </c>
      <c r="I85" s="130">
        <f t="shared" si="10"/>
        <v>100</v>
      </c>
    </row>
    <row r="86" spans="1:9" s="99" customFormat="1" ht="24">
      <c r="A86" s="104" t="s">
        <v>383</v>
      </c>
      <c r="B86" s="127" t="s">
        <v>415</v>
      </c>
      <c r="C86" s="127" t="s">
        <v>12</v>
      </c>
      <c r="D86" s="127" t="s">
        <v>42</v>
      </c>
      <c r="E86" s="128" t="s">
        <v>195</v>
      </c>
      <c r="F86" s="128" t="s">
        <v>271</v>
      </c>
      <c r="G86" s="131">
        <f>5006193.76</f>
        <v>5006193.76</v>
      </c>
      <c r="H86" s="130">
        <v>4816125.3499999996</v>
      </c>
      <c r="I86" s="130">
        <f t="shared" si="10"/>
        <v>96.203334926453181</v>
      </c>
    </row>
    <row r="87" spans="1:9" s="99" customFormat="1" ht="24">
      <c r="A87" s="104" t="s">
        <v>381</v>
      </c>
      <c r="B87" s="127" t="s">
        <v>415</v>
      </c>
      <c r="C87" s="127" t="s">
        <v>12</v>
      </c>
      <c r="D87" s="127" t="s">
        <v>42</v>
      </c>
      <c r="E87" s="128" t="s">
        <v>196</v>
      </c>
      <c r="F87" s="128" t="s">
        <v>271</v>
      </c>
      <c r="G87" s="131">
        <f>5006193.76</f>
        <v>5006193.76</v>
      </c>
      <c r="H87" s="130">
        <v>4816125.3499999996</v>
      </c>
      <c r="I87" s="130">
        <f t="shared" si="10"/>
        <v>96.203334926453181</v>
      </c>
    </row>
    <row r="88" spans="1:9" s="99" customFormat="1" ht="60">
      <c r="A88" s="104" t="s">
        <v>139</v>
      </c>
      <c r="B88" s="127" t="s">
        <v>415</v>
      </c>
      <c r="C88" s="127" t="s">
        <v>12</v>
      </c>
      <c r="D88" s="127" t="s">
        <v>42</v>
      </c>
      <c r="E88" s="128" t="s">
        <v>196</v>
      </c>
      <c r="F88" s="128" t="s">
        <v>151</v>
      </c>
      <c r="G88" s="129">
        <f t="shared" ref="G88:H90" si="12">3408.61</f>
        <v>3408.61</v>
      </c>
      <c r="H88" s="129">
        <f t="shared" si="12"/>
        <v>3408.61</v>
      </c>
      <c r="I88" s="130">
        <f t="shared" si="10"/>
        <v>100</v>
      </c>
    </row>
    <row r="89" spans="1:9" s="99" customFormat="1" ht="24">
      <c r="A89" s="104" t="s">
        <v>183</v>
      </c>
      <c r="B89" s="127" t="s">
        <v>415</v>
      </c>
      <c r="C89" s="127" t="s">
        <v>12</v>
      </c>
      <c r="D89" s="127" t="s">
        <v>42</v>
      </c>
      <c r="E89" s="128" t="s">
        <v>196</v>
      </c>
      <c r="F89" s="128" t="s">
        <v>184</v>
      </c>
      <c r="G89" s="129">
        <f t="shared" si="12"/>
        <v>3408.61</v>
      </c>
      <c r="H89" s="129">
        <f t="shared" si="12"/>
        <v>3408.61</v>
      </c>
      <c r="I89" s="130">
        <f t="shared" si="10"/>
        <v>100</v>
      </c>
    </row>
    <row r="90" spans="1:9" s="99" customFormat="1" ht="24">
      <c r="A90" s="104" t="s">
        <v>187</v>
      </c>
      <c r="B90" s="127" t="s">
        <v>415</v>
      </c>
      <c r="C90" s="127" t="s">
        <v>12</v>
      </c>
      <c r="D90" s="127" t="s">
        <v>42</v>
      </c>
      <c r="E90" s="128" t="s">
        <v>196</v>
      </c>
      <c r="F90" s="128" t="s">
        <v>186</v>
      </c>
      <c r="G90" s="129">
        <f t="shared" si="12"/>
        <v>3408.61</v>
      </c>
      <c r="H90" s="129">
        <f t="shared" si="12"/>
        <v>3408.61</v>
      </c>
      <c r="I90" s="130">
        <f t="shared" si="10"/>
        <v>100</v>
      </c>
    </row>
    <row r="91" spans="1:9" s="99" customFormat="1" ht="24">
      <c r="A91" s="104" t="s">
        <v>94</v>
      </c>
      <c r="B91" s="127" t="s">
        <v>415</v>
      </c>
      <c r="C91" s="127" t="s">
        <v>12</v>
      </c>
      <c r="D91" s="127" t="s">
        <v>42</v>
      </c>
      <c r="E91" s="128" t="s">
        <v>196</v>
      </c>
      <c r="F91" s="128" t="s">
        <v>167</v>
      </c>
      <c r="G91" s="129">
        <f>4108328.15</f>
        <v>4108328.15</v>
      </c>
      <c r="H91" s="130">
        <v>3918259.74</v>
      </c>
      <c r="I91" s="130">
        <f t="shared" si="10"/>
        <v>95.373582560584907</v>
      </c>
    </row>
    <row r="92" spans="1:9" s="99" customFormat="1" ht="36">
      <c r="A92" s="104" t="s">
        <v>137</v>
      </c>
      <c r="B92" s="127" t="s">
        <v>415</v>
      </c>
      <c r="C92" s="127" t="s">
        <v>12</v>
      </c>
      <c r="D92" s="127" t="s">
        <v>42</v>
      </c>
      <c r="E92" s="128" t="s">
        <v>196</v>
      </c>
      <c r="F92" s="128" t="s">
        <v>168</v>
      </c>
      <c r="G92" s="129">
        <f>4108328.15</f>
        <v>4108328.15</v>
      </c>
      <c r="H92" s="130">
        <v>3918259.74</v>
      </c>
      <c r="I92" s="130">
        <f t="shared" si="10"/>
        <v>95.373582560584907</v>
      </c>
    </row>
    <row r="93" spans="1:9" s="99" customFormat="1" ht="24">
      <c r="A93" s="104" t="s">
        <v>197</v>
      </c>
      <c r="B93" s="127" t="s">
        <v>415</v>
      </c>
      <c r="C93" s="127" t="s">
        <v>12</v>
      </c>
      <c r="D93" s="127" t="s">
        <v>42</v>
      </c>
      <c r="E93" s="128" t="s">
        <v>196</v>
      </c>
      <c r="F93" s="128" t="s">
        <v>198</v>
      </c>
      <c r="G93" s="129">
        <f>473008.23</f>
        <v>473008.23</v>
      </c>
      <c r="H93" s="130">
        <v>451486.61</v>
      </c>
      <c r="I93" s="130">
        <f t="shared" si="10"/>
        <v>95.450053797161203</v>
      </c>
    </row>
    <row r="94" spans="1:9" s="99" customFormat="1" ht="12">
      <c r="A94" s="104" t="s">
        <v>138</v>
      </c>
      <c r="B94" s="127" t="s">
        <v>415</v>
      </c>
      <c r="C94" s="127" t="s">
        <v>12</v>
      </c>
      <c r="D94" s="127" t="s">
        <v>42</v>
      </c>
      <c r="E94" s="128" t="s">
        <v>196</v>
      </c>
      <c r="F94" s="128" t="s">
        <v>169</v>
      </c>
      <c r="G94" s="129">
        <f>1092258.82</f>
        <v>1092258.82</v>
      </c>
      <c r="H94" s="129">
        <f>1092225.32</f>
        <v>1092225.32</v>
      </c>
      <c r="I94" s="130">
        <f t="shared" si="10"/>
        <v>99.996932961365331</v>
      </c>
    </row>
    <row r="95" spans="1:9" s="99" customFormat="1" ht="12">
      <c r="A95" s="104" t="s">
        <v>379</v>
      </c>
      <c r="B95" s="127" t="s">
        <v>415</v>
      </c>
      <c r="C95" s="127" t="s">
        <v>12</v>
      </c>
      <c r="D95" s="127" t="s">
        <v>42</v>
      </c>
      <c r="E95" s="128" t="s">
        <v>196</v>
      </c>
      <c r="F95" s="128" t="s">
        <v>380</v>
      </c>
      <c r="G95" s="129">
        <f>2543061.1</f>
        <v>2543061.1</v>
      </c>
      <c r="H95" s="130">
        <v>2374547.81</v>
      </c>
      <c r="I95" s="130">
        <f t="shared" si="10"/>
        <v>93.373604354217036</v>
      </c>
    </row>
    <row r="96" spans="1:9" s="99" customFormat="1" ht="12">
      <c r="A96" s="104" t="s">
        <v>66</v>
      </c>
      <c r="B96" s="127" t="s">
        <v>415</v>
      </c>
      <c r="C96" s="127" t="s">
        <v>12</v>
      </c>
      <c r="D96" s="127" t="s">
        <v>42</v>
      </c>
      <c r="E96" s="128" t="s">
        <v>196</v>
      </c>
      <c r="F96" s="128" t="s">
        <v>160</v>
      </c>
      <c r="G96" s="129">
        <f t="shared" ref="G96:H98" si="13">894457</f>
        <v>894457</v>
      </c>
      <c r="H96" s="129">
        <f t="shared" si="13"/>
        <v>894457</v>
      </c>
      <c r="I96" s="130">
        <f t="shared" si="10"/>
        <v>100</v>
      </c>
    </row>
    <row r="97" spans="1:14" s="99" customFormat="1" ht="12">
      <c r="A97" s="104" t="s">
        <v>97</v>
      </c>
      <c r="B97" s="127" t="s">
        <v>415</v>
      </c>
      <c r="C97" s="127" t="s">
        <v>12</v>
      </c>
      <c r="D97" s="127" t="s">
        <v>42</v>
      </c>
      <c r="E97" s="128" t="s">
        <v>196</v>
      </c>
      <c r="F97" s="128" t="s">
        <v>173</v>
      </c>
      <c r="G97" s="129">
        <f t="shared" si="13"/>
        <v>894457</v>
      </c>
      <c r="H97" s="129">
        <f t="shared" si="13"/>
        <v>894457</v>
      </c>
      <c r="I97" s="130">
        <f t="shared" si="10"/>
        <v>100</v>
      </c>
    </row>
    <row r="98" spans="1:14" s="99" customFormat="1" ht="24">
      <c r="A98" s="104" t="s">
        <v>174</v>
      </c>
      <c r="B98" s="127" t="s">
        <v>415</v>
      </c>
      <c r="C98" s="127" t="s">
        <v>12</v>
      </c>
      <c r="D98" s="127" t="s">
        <v>42</v>
      </c>
      <c r="E98" s="128" t="s">
        <v>196</v>
      </c>
      <c r="F98" s="128" t="s">
        <v>175</v>
      </c>
      <c r="G98" s="129">
        <f t="shared" si="13"/>
        <v>894457</v>
      </c>
      <c r="H98" s="129">
        <f t="shared" si="13"/>
        <v>894457</v>
      </c>
      <c r="I98" s="130">
        <f t="shared" si="10"/>
        <v>100</v>
      </c>
    </row>
    <row r="99" spans="1:14" s="102" customFormat="1" ht="12">
      <c r="A99" s="105" t="s">
        <v>199</v>
      </c>
      <c r="B99" s="123" t="s">
        <v>415</v>
      </c>
      <c r="C99" s="123" t="s">
        <v>14</v>
      </c>
      <c r="D99" s="123" t="s">
        <v>129</v>
      </c>
      <c r="E99" s="124" t="s">
        <v>271</v>
      </c>
      <c r="F99" s="124" t="s">
        <v>271</v>
      </c>
      <c r="G99" s="125">
        <f t="shared" ref="G99:H103" si="14">466400</f>
        <v>466400</v>
      </c>
      <c r="H99" s="125">
        <f t="shared" si="14"/>
        <v>466400</v>
      </c>
      <c r="I99" s="126">
        <f t="shared" ref="I99:I132" si="15">H99/G99*100</f>
        <v>100</v>
      </c>
    </row>
    <row r="100" spans="1:14" s="99" customFormat="1" ht="12">
      <c r="A100" s="104" t="s">
        <v>0</v>
      </c>
      <c r="B100" s="127" t="s">
        <v>415</v>
      </c>
      <c r="C100" s="127" t="s">
        <v>14</v>
      </c>
      <c r="D100" s="127" t="s">
        <v>13</v>
      </c>
      <c r="E100" s="128" t="s">
        <v>271</v>
      </c>
      <c r="F100" s="128" t="s">
        <v>271</v>
      </c>
      <c r="G100" s="129">
        <f t="shared" si="14"/>
        <v>466400</v>
      </c>
      <c r="H100" s="129">
        <f t="shared" si="14"/>
        <v>466400</v>
      </c>
      <c r="I100" s="130">
        <f t="shared" si="15"/>
        <v>100</v>
      </c>
    </row>
    <row r="101" spans="1:14" s="99" customFormat="1" ht="48">
      <c r="A101" s="104" t="s">
        <v>148</v>
      </c>
      <c r="B101" s="127" t="s">
        <v>415</v>
      </c>
      <c r="C101" s="127" t="s">
        <v>14</v>
      </c>
      <c r="D101" s="127" t="s">
        <v>13</v>
      </c>
      <c r="E101" s="128" t="s">
        <v>105</v>
      </c>
      <c r="F101" s="128" t="s">
        <v>271</v>
      </c>
      <c r="G101" s="129">
        <f t="shared" si="14"/>
        <v>466400</v>
      </c>
      <c r="H101" s="129">
        <f t="shared" si="14"/>
        <v>466400</v>
      </c>
      <c r="I101" s="130">
        <f t="shared" si="15"/>
        <v>100</v>
      </c>
    </row>
    <row r="102" spans="1:14" s="99" customFormat="1" ht="36">
      <c r="A102" s="104" t="s">
        <v>384</v>
      </c>
      <c r="B102" s="127" t="s">
        <v>415</v>
      </c>
      <c r="C102" s="127" t="s">
        <v>14</v>
      </c>
      <c r="D102" s="127" t="s">
        <v>13</v>
      </c>
      <c r="E102" s="128" t="s">
        <v>200</v>
      </c>
      <c r="F102" s="128" t="s">
        <v>271</v>
      </c>
      <c r="G102" s="129">
        <f t="shared" si="14"/>
        <v>466400</v>
      </c>
      <c r="H102" s="129">
        <f t="shared" si="14"/>
        <v>466400</v>
      </c>
      <c r="I102" s="130">
        <f t="shared" si="15"/>
        <v>100</v>
      </c>
    </row>
    <row r="103" spans="1:14" s="99" customFormat="1" ht="36">
      <c r="A103" s="104" t="s">
        <v>385</v>
      </c>
      <c r="B103" s="127" t="s">
        <v>415</v>
      </c>
      <c r="C103" s="127" t="s">
        <v>14</v>
      </c>
      <c r="D103" s="127" t="s">
        <v>13</v>
      </c>
      <c r="E103" s="128" t="s">
        <v>201</v>
      </c>
      <c r="F103" s="128" t="s">
        <v>271</v>
      </c>
      <c r="G103" s="129">
        <f t="shared" si="14"/>
        <v>466400</v>
      </c>
      <c r="H103" s="129">
        <f t="shared" si="14"/>
        <v>466400</v>
      </c>
      <c r="I103" s="130">
        <f t="shared" si="15"/>
        <v>100</v>
      </c>
    </row>
    <row r="104" spans="1:14" s="99" customFormat="1" ht="60">
      <c r="A104" s="104" t="s">
        <v>139</v>
      </c>
      <c r="B104" s="127" t="s">
        <v>415</v>
      </c>
      <c r="C104" s="127" t="s">
        <v>14</v>
      </c>
      <c r="D104" s="127" t="s">
        <v>13</v>
      </c>
      <c r="E104" s="128" t="s">
        <v>201</v>
      </c>
      <c r="F104" s="128" t="s">
        <v>151</v>
      </c>
      <c r="G104" s="129">
        <f>422446</f>
        <v>422446</v>
      </c>
      <c r="H104" s="129">
        <f>422446</f>
        <v>422446</v>
      </c>
      <c r="I104" s="130">
        <f t="shared" si="15"/>
        <v>100</v>
      </c>
    </row>
    <row r="105" spans="1:14" s="99" customFormat="1" ht="24">
      <c r="A105" s="104" t="s">
        <v>96</v>
      </c>
      <c r="B105" s="127" t="s">
        <v>415</v>
      </c>
      <c r="C105" s="127" t="s">
        <v>14</v>
      </c>
      <c r="D105" s="127" t="s">
        <v>13</v>
      </c>
      <c r="E105" s="128" t="s">
        <v>201</v>
      </c>
      <c r="F105" s="128" t="s">
        <v>152</v>
      </c>
      <c r="G105" s="129">
        <f>422446</f>
        <v>422446</v>
      </c>
      <c r="H105" s="129">
        <f>422446</f>
        <v>422446</v>
      </c>
      <c r="I105" s="130">
        <f t="shared" si="15"/>
        <v>100</v>
      </c>
    </row>
    <row r="106" spans="1:14" s="99" customFormat="1" ht="24">
      <c r="A106" s="104" t="s">
        <v>153</v>
      </c>
      <c r="B106" s="127" t="s">
        <v>415</v>
      </c>
      <c r="C106" s="127" t="s">
        <v>14</v>
      </c>
      <c r="D106" s="127" t="s">
        <v>13</v>
      </c>
      <c r="E106" s="128" t="s">
        <v>201</v>
      </c>
      <c r="F106" s="128" t="s">
        <v>154</v>
      </c>
      <c r="G106" s="129">
        <f>277964.06</f>
        <v>277964.06</v>
      </c>
      <c r="H106" s="129">
        <f>277964.06</f>
        <v>277964.06</v>
      </c>
      <c r="I106" s="130">
        <f t="shared" si="15"/>
        <v>100</v>
      </c>
    </row>
    <row r="107" spans="1:14" s="99" customFormat="1" ht="48">
      <c r="A107" s="104" t="s">
        <v>93</v>
      </c>
      <c r="B107" s="127" t="s">
        <v>415</v>
      </c>
      <c r="C107" s="127" t="s">
        <v>14</v>
      </c>
      <c r="D107" s="127" t="s">
        <v>13</v>
      </c>
      <c r="E107" s="128" t="s">
        <v>201</v>
      </c>
      <c r="F107" s="128" t="s">
        <v>155</v>
      </c>
      <c r="G107" s="129">
        <f>144481.94</f>
        <v>144481.94</v>
      </c>
      <c r="H107" s="129">
        <f>144481.94</f>
        <v>144481.94</v>
      </c>
      <c r="I107" s="130">
        <f t="shared" si="15"/>
        <v>100</v>
      </c>
    </row>
    <row r="108" spans="1:14" s="99" customFormat="1" ht="24">
      <c r="A108" s="104" t="s">
        <v>94</v>
      </c>
      <c r="B108" s="127" t="s">
        <v>415</v>
      </c>
      <c r="C108" s="127" t="s">
        <v>14</v>
      </c>
      <c r="D108" s="127" t="s">
        <v>13</v>
      </c>
      <c r="E108" s="128" t="s">
        <v>201</v>
      </c>
      <c r="F108" s="128" t="s">
        <v>167</v>
      </c>
      <c r="G108" s="129">
        <f t="shared" ref="G108:H110" si="16">43954</f>
        <v>43954</v>
      </c>
      <c r="H108" s="129">
        <f t="shared" si="16"/>
        <v>43954</v>
      </c>
      <c r="I108" s="130">
        <f t="shared" si="15"/>
        <v>100</v>
      </c>
    </row>
    <row r="109" spans="1:14" s="99" customFormat="1" ht="36">
      <c r="A109" s="104" t="s">
        <v>137</v>
      </c>
      <c r="B109" s="127" t="s">
        <v>415</v>
      </c>
      <c r="C109" s="127" t="s">
        <v>14</v>
      </c>
      <c r="D109" s="127" t="s">
        <v>13</v>
      </c>
      <c r="E109" s="128" t="s">
        <v>201</v>
      </c>
      <c r="F109" s="128" t="s">
        <v>168</v>
      </c>
      <c r="G109" s="129">
        <f t="shared" si="16"/>
        <v>43954</v>
      </c>
      <c r="H109" s="129">
        <f t="shared" si="16"/>
        <v>43954</v>
      </c>
      <c r="I109" s="130">
        <f t="shared" si="15"/>
        <v>100</v>
      </c>
    </row>
    <row r="110" spans="1:14" s="99" customFormat="1" ht="12">
      <c r="A110" s="104" t="s">
        <v>138</v>
      </c>
      <c r="B110" s="127" t="s">
        <v>415</v>
      </c>
      <c r="C110" s="127" t="s">
        <v>14</v>
      </c>
      <c r="D110" s="127" t="s">
        <v>13</v>
      </c>
      <c r="E110" s="128" t="s">
        <v>201</v>
      </c>
      <c r="F110" s="128" t="s">
        <v>169</v>
      </c>
      <c r="G110" s="129">
        <f t="shared" si="16"/>
        <v>43954</v>
      </c>
      <c r="H110" s="129">
        <f t="shared" si="16"/>
        <v>43954</v>
      </c>
      <c r="I110" s="130">
        <f t="shared" si="15"/>
        <v>100</v>
      </c>
    </row>
    <row r="111" spans="1:14" s="102" customFormat="1" ht="24">
      <c r="A111" s="105" t="s">
        <v>202</v>
      </c>
      <c r="B111" s="123" t="s">
        <v>415</v>
      </c>
      <c r="C111" s="123" t="s">
        <v>13</v>
      </c>
      <c r="D111" s="123" t="s">
        <v>129</v>
      </c>
      <c r="E111" s="124" t="s">
        <v>271</v>
      </c>
      <c r="F111" s="124" t="s">
        <v>271</v>
      </c>
      <c r="G111" s="125">
        <f>1667670.87</f>
        <v>1667670.87</v>
      </c>
      <c r="H111" s="125">
        <f>1667670.87</f>
        <v>1667670.87</v>
      </c>
      <c r="I111" s="126">
        <f t="shared" si="15"/>
        <v>100</v>
      </c>
      <c r="M111" s="99"/>
      <c r="N111" s="99"/>
    </row>
    <row r="112" spans="1:14" s="99" customFormat="1" ht="12">
      <c r="A112" s="104" t="s">
        <v>45</v>
      </c>
      <c r="B112" s="127" t="s">
        <v>415</v>
      </c>
      <c r="C112" s="127" t="s">
        <v>13</v>
      </c>
      <c r="D112" s="127" t="s">
        <v>15</v>
      </c>
      <c r="E112" s="128" t="s">
        <v>271</v>
      </c>
      <c r="F112" s="128" t="s">
        <v>271</v>
      </c>
      <c r="G112" s="129">
        <f t="shared" ref="G112:H114" si="17">51373.87</f>
        <v>51373.87</v>
      </c>
      <c r="H112" s="129">
        <f t="shared" si="17"/>
        <v>51373.87</v>
      </c>
      <c r="I112" s="130">
        <f t="shared" si="15"/>
        <v>100</v>
      </c>
    </row>
    <row r="113" spans="1:9" s="99" customFormat="1" ht="48">
      <c r="A113" s="104" t="s">
        <v>148</v>
      </c>
      <c r="B113" s="127" t="s">
        <v>415</v>
      </c>
      <c r="C113" s="127" t="s">
        <v>13</v>
      </c>
      <c r="D113" s="127" t="s">
        <v>15</v>
      </c>
      <c r="E113" s="128" t="s">
        <v>105</v>
      </c>
      <c r="F113" s="128" t="s">
        <v>271</v>
      </c>
      <c r="G113" s="129">
        <f t="shared" si="17"/>
        <v>51373.87</v>
      </c>
      <c r="H113" s="129">
        <f t="shared" si="17"/>
        <v>51373.87</v>
      </c>
      <c r="I113" s="130">
        <f t="shared" si="15"/>
        <v>100</v>
      </c>
    </row>
    <row r="114" spans="1:9" s="99" customFormat="1" ht="24">
      <c r="A114" s="104" t="s">
        <v>386</v>
      </c>
      <c r="B114" s="127" t="s">
        <v>415</v>
      </c>
      <c r="C114" s="127" t="s">
        <v>13</v>
      </c>
      <c r="D114" s="127" t="s">
        <v>15</v>
      </c>
      <c r="E114" s="128" t="s">
        <v>203</v>
      </c>
      <c r="F114" s="128" t="s">
        <v>271</v>
      </c>
      <c r="G114" s="129">
        <f t="shared" si="17"/>
        <v>51373.87</v>
      </c>
      <c r="H114" s="129">
        <f t="shared" si="17"/>
        <v>51373.87</v>
      </c>
      <c r="I114" s="130">
        <f t="shared" si="15"/>
        <v>100</v>
      </c>
    </row>
    <row r="115" spans="1:9" s="99" customFormat="1" ht="72">
      <c r="A115" s="104" t="s">
        <v>387</v>
      </c>
      <c r="B115" s="127" t="s">
        <v>415</v>
      </c>
      <c r="C115" s="127" t="s">
        <v>13</v>
      </c>
      <c r="D115" s="127" t="s">
        <v>15</v>
      </c>
      <c r="E115" s="128" t="s">
        <v>204</v>
      </c>
      <c r="F115" s="128" t="s">
        <v>271</v>
      </c>
      <c r="G115" s="129">
        <f t="shared" ref="G115:H117" si="18">39428.82</f>
        <v>39428.82</v>
      </c>
      <c r="H115" s="129">
        <f t="shared" si="18"/>
        <v>39428.82</v>
      </c>
      <c r="I115" s="130">
        <f t="shared" si="15"/>
        <v>100</v>
      </c>
    </row>
    <row r="116" spans="1:9" s="99" customFormat="1" ht="60">
      <c r="A116" s="104" t="s">
        <v>139</v>
      </c>
      <c r="B116" s="127" t="s">
        <v>415</v>
      </c>
      <c r="C116" s="127" t="s">
        <v>13</v>
      </c>
      <c r="D116" s="127" t="s">
        <v>15</v>
      </c>
      <c r="E116" s="128" t="s">
        <v>204</v>
      </c>
      <c r="F116" s="128" t="s">
        <v>151</v>
      </c>
      <c r="G116" s="129">
        <f t="shared" si="18"/>
        <v>39428.82</v>
      </c>
      <c r="H116" s="129">
        <f t="shared" si="18"/>
        <v>39428.82</v>
      </c>
      <c r="I116" s="130">
        <f t="shared" si="15"/>
        <v>100</v>
      </c>
    </row>
    <row r="117" spans="1:9" s="99" customFormat="1" ht="24">
      <c r="A117" s="104" t="s">
        <v>96</v>
      </c>
      <c r="B117" s="127" t="s">
        <v>415</v>
      </c>
      <c r="C117" s="127" t="s">
        <v>13</v>
      </c>
      <c r="D117" s="127" t="s">
        <v>15</v>
      </c>
      <c r="E117" s="128" t="s">
        <v>204</v>
      </c>
      <c r="F117" s="128" t="s">
        <v>152</v>
      </c>
      <c r="G117" s="129">
        <f t="shared" si="18"/>
        <v>39428.82</v>
      </c>
      <c r="H117" s="129">
        <f t="shared" si="18"/>
        <v>39428.82</v>
      </c>
      <c r="I117" s="130">
        <f t="shared" si="15"/>
        <v>100</v>
      </c>
    </row>
    <row r="118" spans="1:9" s="99" customFormat="1" ht="24">
      <c r="A118" s="104" t="s">
        <v>153</v>
      </c>
      <c r="B118" s="127" t="s">
        <v>415</v>
      </c>
      <c r="C118" s="127" t="s">
        <v>13</v>
      </c>
      <c r="D118" s="127" t="s">
        <v>15</v>
      </c>
      <c r="E118" s="128" t="s">
        <v>204</v>
      </c>
      <c r="F118" s="128" t="s">
        <v>154</v>
      </c>
      <c r="G118" s="129">
        <f>30283.19</f>
        <v>30283.19</v>
      </c>
      <c r="H118" s="129">
        <f>30283.19</f>
        <v>30283.19</v>
      </c>
      <c r="I118" s="130">
        <f t="shared" si="15"/>
        <v>100</v>
      </c>
    </row>
    <row r="119" spans="1:9" s="99" customFormat="1" ht="48">
      <c r="A119" s="104" t="s">
        <v>93</v>
      </c>
      <c r="B119" s="127" t="s">
        <v>415</v>
      </c>
      <c r="C119" s="127" t="s">
        <v>13</v>
      </c>
      <c r="D119" s="127" t="s">
        <v>15</v>
      </c>
      <c r="E119" s="128" t="s">
        <v>204</v>
      </c>
      <c r="F119" s="128" t="s">
        <v>155</v>
      </c>
      <c r="G119" s="129">
        <f>9145.63</f>
        <v>9145.6299999999992</v>
      </c>
      <c r="H119" s="129">
        <f>9145.63</f>
        <v>9145.6299999999992</v>
      </c>
      <c r="I119" s="130">
        <f t="shared" si="15"/>
        <v>100</v>
      </c>
    </row>
    <row r="120" spans="1:9" s="99" customFormat="1" ht="72">
      <c r="A120" s="104" t="s">
        <v>388</v>
      </c>
      <c r="B120" s="127" t="s">
        <v>415</v>
      </c>
      <c r="C120" s="127" t="s">
        <v>13</v>
      </c>
      <c r="D120" s="127" t="s">
        <v>15</v>
      </c>
      <c r="E120" s="128" t="s">
        <v>205</v>
      </c>
      <c r="F120" s="128" t="s">
        <v>271</v>
      </c>
      <c r="G120" s="129">
        <f t="shared" ref="G120:H122" si="19">11945.05</f>
        <v>11945.05</v>
      </c>
      <c r="H120" s="129">
        <f t="shared" si="19"/>
        <v>11945.05</v>
      </c>
      <c r="I120" s="130">
        <f t="shared" si="15"/>
        <v>100</v>
      </c>
    </row>
    <row r="121" spans="1:9" s="99" customFormat="1" ht="60">
      <c r="A121" s="104" t="s">
        <v>139</v>
      </c>
      <c r="B121" s="127" t="s">
        <v>415</v>
      </c>
      <c r="C121" s="127" t="s">
        <v>13</v>
      </c>
      <c r="D121" s="127" t="s">
        <v>15</v>
      </c>
      <c r="E121" s="128" t="s">
        <v>205</v>
      </c>
      <c r="F121" s="128" t="s">
        <v>151</v>
      </c>
      <c r="G121" s="129">
        <f t="shared" si="19"/>
        <v>11945.05</v>
      </c>
      <c r="H121" s="129">
        <f t="shared" si="19"/>
        <v>11945.05</v>
      </c>
      <c r="I121" s="130">
        <f t="shared" si="15"/>
        <v>100</v>
      </c>
    </row>
    <row r="122" spans="1:9" s="99" customFormat="1" ht="24">
      <c r="A122" s="104" t="s">
        <v>96</v>
      </c>
      <c r="B122" s="127" t="s">
        <v>415</v>
      </c>
      <c r="C122" s="127" t="s">
        <v>13</v>
      </c>
      <c r="D122" s="127" t="s">
        <v>15</v>
      </c>
      <c r="E122" s="128" t="s">
        <v>205</v>
      </c>
      <c r="F122" s="128" t="s">
        <v>152</v>
      </c>
      <c r="G122" s="129">
        <f t="shared" si="19"/>
        <v>11945.05</v>
      </c>
      <c r="H122" s="129">
        <f t="shared" si="19"/>
        <v>11945.05</v>
      </c>
      <c r="I122" s="130">
        <f t="shared" si="15"/>
        <v>100</v>
      </c>
    </row>
    <row r="123" spans="1:9" s="99" customFormat="1" ht="24">
      <c r="A123" s="104" t="s">
        <v>153</v>
      </c>
      <c r="B123" s="127" t="s">
        <v>415</v>
      </c>
      <c r="C123" s="127" t="s">
        <v>13</v>
      </c>
      <c r="D123" s="127" t="s">
        <v>15</v>
      </c>
      <c r="E123" s="128" t="s">
        <v>205</v>
      </c>
      <c r="F123" s="128" t="s">
        <v>154</v>
      </c>
      <c r="G123" s="129">
        <f>9174.4</f>
        <v>9174.4</v>
      </c>
      <c r="H123" s="129">
        <f>9174.4</f>
        <v>9174.4</v>
      </c>
      <c r="I123" s="130">
        <f t="shared" si="15"/>
        <v>100</v>
      </c>
    </row>
    <row r="124" spans="1:9" s="99" customFormat="1" ht="48">
      <c r="A124" s="104" t="s">
        <v>93</v>
      </c>
      <c r="B124" s="127" t="s">
        <v>415</v>
      </c>
      <c r="C124" s="127" t="s">
        <v>13</v>
      </c>
      <c r="D124" s="127" t="s">
        <v>15</v>
      </c>
      <c r="E124" s="128" t="s">
        <v>205</v>
      </c>
      <c r="F124" s="128" t="s">
        <v>155</v>
      </c>
      <c r="G124" s="129">
        <f>2770.65</f>
        <v>2770.65</v>
      </c>
      <c r="H124" s="129">
        <f>2770.65</f>
        <v>2770.65</v>
      </c>
      <c r="I124" s="130">
        <f t="shared" si="15"/>
        <v>100</v>
      </c>
    </row>
    <row r="125" spans="1:9" s="99" customFormat="1" ht="12">
      <c r="A125" s="104" t="s">
        <v>389</v>
      </c>
      <c r="B125" s="127" t="s">
        <v>415</v>
      </c>
      <c r="C125" s="127" t="s">
        <v>13</v>
      </c>
      <c r="D125" s="127" t="s">
        <v>20</v>
      </c>
      <c r="E125" s="128" t="s">
        <v>271</v>
      </c>
      <c r="F125" s="128" t="s">
        <v>271</v>
      </c>
      <c r="G125" s="129">
        <f t="shared" ref="G125:H131" si="20">1586722</f>
        <v>1586722</v>
      </c>
      <c r="H125" s="129">
        <f t="shared" si="20"/>
        <v>1586722</v>
      </c>
      <c r="I125" s="130">
        <f t="shared" si="15"/>
        <v>100</v>
      </c>
    </row>
    <row r="126" spans="1:9" s="99" customFormat="1" ht="60">
      <c r="A126" s="104" t="s">
        <v>390</v>
      </c>
      <c r="B126" s="127" t="s">
        <v>415</v>
      </c>
      <c r="C126" s="127" t="s">
        <v>13</v>
      </c>
      <c r="D126" s="127" t="s">
        <v>20</v>
      </c>
      <c r="E126" s="128" t="s">
        <v>206</v>
      </c>
      <c r="F126" s="128" t="s">
        <v>271</v>
      </c>
      <c r="G126" s="129">
        <f t="shared" si="20"/>
        <v>1586722</v>
      </c>
      <c r="H126" s="129">
        <f t="shared" si="20"/>
        <v>1586722</v>
      </c>
      <c r="I126" s="130">
        <f t="shared" si="15"/>
        <v>100</v>
      </c>
    </row>
    <row r="127" spans="1:9" s="99" customFormat="1" ht="48">
      <c r="A127" s="104" t="s">
        <v>207</v>
      </c>
      <c r="B127" s="127" t="s">
        <v>415</v>
      </c>
      <c r="C127" s="127" t="s">
        <v>13</v>
      </c>
      <c r="D127" s="127" t="s">
        <v>20</v>
      </c>
      <c r="E127" s="128" t="s">
        <v>208</v>
      </c>
      <c r="F127" s="128" t="s">
        <v>271</v>
      </c>
      <c r="G127" s="129">
        <f t="shared" si="20"/>
        <v>1586722</v>
      </c>
      <c r="H127" s="129">
        <f t="shared" si="20"/>
        <v>1586722</v>
      </c>
      <c r="I127" s="130">
        <f t="shared" si="15"/>
        <v>100</v>
      </c>
    </row>
    <row r="128" spans="1:9" s="99" customFormat="1" ht="24">
      <c r="A128" s="104" t="s">
        <v>165</v>
      </c>
      <c r="B128" s="127" t="s">
        <v>415</v>
      </c>
      <c r="C128" s="127" t="s">
        <v>13</v>
      </c>
      <c r="D128" s="127" t="s">
        <v>20</v>
      </c>
      <c r="E128" s="128" t="s">
        <v>209</v>
      </c>
      <c r="F128" s="128" t="s">
        <v>271</v>
      </c>
      <c r="G128" s="129">
        <f t="shared" si="20"/>
        <v>1586722</v>
      </c>
      <c r="H128" s="129">
        <f t="shared" si="20"/>
        <v>1586722</v>
      </c>
      <c r="I128" s="130">
        <f t="shared" si="15"/>
        <v>100</v>
      </c>
    </row>
    <row r="129" spans="1:9" s="99" customFormat="1" ht="24">
      <c r="A129" s="104" t="s">
        <v>94</v>
      </c>
      <c r="B129" s="127" t="s">
        <v>415</v>
      </c>
      <c r="C129" s="127" t="s">
        <v>13</v>
      </c>
      <c r="D129" s="127" t="s">
        <v>20</v>
      </c>
      <c r="E129" s="128" t="s">
        <v>209</v>
      </c>
      <c r="F129" s="128" t="s">
        <v>167</v>
      </c>
      <c r="G129" s="129">
        <f t="shared" si="20"/>
        <v>1586722</v>
      </c>
      <c r="H129" s="129">
        <f t="shared" si="20"/>
        <v>1586722</v>
      </c>
      <c r="I129" s="130">
        <f t="shared" si="15"/>
        <v>100</v>
      </c>
    </row>
    <row r="130" spans="1:9" s="99" customFormat="1" ht="36">
      <c r="A130" s="104" t="s">
        <v>137</v>
      </c>
      <c r="B130" s="127" t="s">
        <v>415</v>
      </c>
      <c r="C130" s="127" t="s">
        <v>13</v>
      </c>
      <c r="D130" s="127" t="s">
        <v>20</v>
      </c>
      <c r="E130" s="128" t="s">
        <v>209</v>
      </c>
      <c r="F130" s="128" t="s">
        <v>168</v>
      </c>
      <c r="G130" s="129">
        <f t="shared" si="20"/>
        <v>1586722</v>
      </c>
      <c r="H130" s="129">
        <f t="shared" si="20"/>
        <v>1586722</v>
      </c>
      <c r="I130" s="130">
        <f t="shared" si="15"/>
        <v>100</v>
      </c>
    </row>
    <row r="131" spans="1:9" s="99" customFormat="1" ht="12">
      <c r="A131" s="104" t="s">
        <v>138</v>
      </c>
      <c r="B131" s="127" t="s">
        <v>415</v>
      </c>
      <c r="C131" s="127" t="s">
        <v>13</v>
      </c>
      <c r="D131" s="127" t="s">
        <v>20</v>
      </c>
      <c r="E131" s="128" t="s">
        <v>209</v>
      </c>
      <c r="F131" s="128" t="s">
        <v>169</v>
      </c>
      <c r="G131" s="129">
        <f t="shared" si="20"/>
        <v>1586722</v>
      </c>
      <c r="H131" s="129">
        <f t="shared" si="20"/>
        <v>1586722</v>
      </c>
      <c r="I131" s="130">
        <f t="shared" si="15"/>
        <v>100</v>
      </c>
    </row>
    <row r="132" spans="1:9" s="99" customFormat="1" ht="24">
      <c r="A132" s="104" t="s">
        <v>65</v>
      </c>
      <c r="B132" s="127" t="s">
        <v>415</v>
      </c>
      <c r="C132" s="127" t="s">
        <v>13</v>
      </c>
      <c r="D132" s="127" t="s">
        <v>44</v>
      </c>
      <c r="E132" s="128" t="s">
        <v>271</v>
      </c>
      <c r="F132" s="128" t="s">
        <v>271</v>
      </c>
      <c r="G132" s="129">
        <f t="shared" ref="G132:H134" si="21">29575</f>
        <v>29575</v>
      </c>
      <c r="H132" s="129">
        <f t="shared" si="21"/>
        <v>29575</v>
      </c>
      <c r="I132" s="130">
        <f t="shared" si="15"/>
        <v>100</v>
      </c>
    </row>
    <row r="133" spans="1:9" s="99" customFormat="1" ht="72">
      <c r="A133" s="104" t="s">
        <v>210</v>
      </c>
      <c r="B133" s="127" t="s">
        <v>415</v>
      </c>
      <c r="C133" s="127" t="s">
        <v>13</v>
      </c>
      <c r="D133" s="127" t="s">
        <v>44</v>
      </c>
      <c r="E133" s="128" t="s">
        <v>117</v>
      </c>
      <c r="F133" s="128" t="s">
        <v>271</v>
      </c>
      <c r="G133" s="129">
        <f t="shared" si="21"/>
        <v>29575</v>
      </c>
      <c r="H133" s="129">
        <f t="shared" si="21"/>
        <v>29575</v>
      </c>
      <c r="I133" s="130">
        <f t="shared" ref="I133:I169" si="22">H133/G133*100</f>
        <v>100</v>
      </c>
    </row>
    <row r="134" spans="1:9" s="99" customFormat="1" ht="60">
      <c r="A134" s="104" t="s">
        <v>391</v>
      </c>
      <c r="B134" s="127" t="s">
        <v>415</v>
      </c>
      <c r="C134" s="127" t="s">
        <v>13</v>
      </c>
      <c r="D134" s="127" t="s">
        <v>44</v>
      </c>
      <c r="E134" s="128" t="s">
        <v>211</v>
      </c>
      <c r="F134" s="128" t="s">
        <v>271</v>
      </c>
      <c r="G134" s="129">
        <f t="shared" si="21"/>
        <v>29575</v>
      </c>
      <c r="H134" s="129">
        <f t="shared" si="21"/>
        <v>29575</v>
      </c>
      <c r="I134" s="130">
        <f t="shared" si="22"/>
        <v>100</v>
      </c>
    </row>
    <row r="135" spans="1:9" s="99" customFormat="1" ht="24">
      <c r="A135" s="104" t="s">
        <v>392</v>
      </c>
      <c r="B135" s="127" t="s">
        <v>415</v>
      </c>
      <c r="C135" s="127" t="s">
        <v>13</v>
      </c>
      <c r="D135" s="127" t="s">
        <v>44</v>
      </c>
      <c r="E135" s="128" t="s">
        <v>212</v>
      </c>
      <c r="F135" s="128" t="s">
        <v>271</v>
      </c>
      <c r="G135" s="129">
        <f t="shared" ref="G135:H138" si="23">23660</f>
        <v>23660</v>
      </c>
      <c r="H135" s="129">
        <f t="shared" si="23"/>
        <v>23660</v>
      </c>
      <c r="I135" s="130">
        <f t="shared" si="22"/>
        <v>100</v>
      </c>
    </row>
    <row r="136" spans="1:9" s="99" customFormat="1" ht="60">
      <c r="A136" s="104" t="s">
        <v>139</v>
      </c>
      <c r="B136" s="127" t="s">
        <v>415</v>
      </c>
      <c r="C136" s="127" t="s">
        <v>13</v>
      </c>
      <c r="D136" s="127" t="s">
        <v>44</v>
      </c>
      <c r="E136" s="128" t="s">
        <v>212</v>
      </c>
      <c r="F136" s="128" t="s">
        <v>151</v>
      </c>
      <c r="G136" s="129">
        <f t="shared" si="23"/>
        <v>23660</v>
      </c>
      <c r="H136" s="129">
        <f t="shared" si="23"/>
        <v>23660</v>
      </c>
      <c r="I136" s="130">
        <f t="shared" si="22"/>
        <v>100</v>
      </c>
    </row>
    <row r="137" spans="1:9" s="99" customFormat="1" ht="24">
      <c r="A137" s="104" t="s">
        <v>96</v>
      </c>
      <c r="B137" s="127" t="s">
        <v>415</v>
      </c>
      <c r="C137" s="127" t="s">
        <v>13</v>
      </c>
      <c r="D137" s="127" t="s">
        <v>44</v>
      </c>
      <c r="E137" s="128" t="s">
        <v>212</v>
      </c>
      <c r="F137" s="128" t="s">
        <v>152</v>
      </c>
      <c r="G137" s="129">
        <f t="shared" si="23"/>
        <v>23660</v>
      </c>
      <c r="H137" s="129">
        <f t="shared" si="23"/>
        <v>23660</v>
      </c>
      <c r="I137" s="130">
        <f t="shared" si="22"/>
        <v>100</v>
      </c>
    </row>
    <row r="138" spans="1:9" s="99" customFormat="1" ht="48">
      <c r="A138" s="104" t="s">
        <v>213</v>
      </c>
      <c r="B138" s="127" t="s">
        <v>415</v>
      </c>
      <c r="C138" s="127" t="s">
        <v>13</v>
      </c>
      <c r="D138" s="127" t="s">
        <v>44</v>
      </c>
      <c r="E138" s="128" t="s">
        <v>212</v>
      </c>
      <c r="F138" s="128" t="s">
        <v>214</v>
      </c>
      <c r="G138" s="129">
        <f t="shared" si="23"/>
        <v>23660</v>
      </c>
      <c r="H138" s="129">
        <f t="shared" si="23"/>
        <v>23660</v>
      </c>
      <c r="I138" s="130">
        <f t="shared" si="22"/>
        <v>100</v>
      </c>
    </row>
    <row r="139" spans="1:9" s="99" customFormat="1" ht="24">
      <c r="A139" s="104" t="s">
        <v>392</v>
      </c>
      <c r="B139" s="127" t="s">
        <v>415</v>
      </c>
      <c r="C139" s="127" t="s">
        <v>13</v>
      </c>
      <c r="D139" s="127" t="s">
        <v>44</v>
      </c>
      <c r="E139" s="128" t="s">
        <v>215</v>
      </c>
      <c r="F139" s="128" t="s">
        <v>271</v>
      </c>
      <c r="G139" s="129">
        <f>5915</f>
        <v>5915</v>
      </c>
      <c r="H139" s="129">
        <f>5915</f>
        <v>5915</v>
      </c>
      <c r="I139" s="130">
        <f t="shared" si="22"/>
        <v>100</v>
      </c>
    </row>
    <row r="140" spans="1:9" s="99" customFormat="1" ht="60">
      <c r="A140" s="104" t="s">
        <v>139</v>
      </c>
      <c r="B140" s="127" t="s">
        <v>415</v>
      </c>
      <c r="C140" s="127" t="s">
        <v>13</v>
      </c>
      <c r="D140" s="127" t="s">
        <v>44</v>
      </c>
      <c r="E140" s="128" t="s">
        <v>215</v>
      </c>
      <c r="F140" s="128" t="s">
        <v>151</v>
      </c>
      <c r="G140" s="129">
        <f t="shared" ref="G140:H142" si="24">5015</f>
        <v>5015</v>
      </c>
      <c r="H140" s="129">
        <f t="shared" si="24"/>
        <v>5015</v>
      </c>
      <c r="I140" s="130">
        <f t="shared" si="22"/>
        <v>100</v>
      </c>
    </row>
    <row r="141" spans="1:9" s="99" customFormat="1" ht="24">
      <c r="A141" s="104" t="s">
        <v>96</v>
      </c>
      <c r="B141" s="127" t="s">
        <v>415</v>
      </c>
      <c r="C141" s="127" t="s">
        <v>13</v>
      </c>
      <c r="D141" s="127" t="s">
        <v>44</v>
      </c>
      <c r="E141" s="128" t="s">
        <v>215</v>
      </c>
      <c r="F141" s="128" t="s">
        <v>152</v>
      </c>
      <c r="G141" s="129">
        <f t="shared" si="24"/>
        <v>5015</v>
      </c>
      <c r="H141" s="129">
        <f t="shared" si="24"/>
        <v>5015</v>
      </c>
      <c r="I141" s="130">
        <f t="shared" si="22"/>
        <v>100</v>
      </c>
    </row>
    <row r="142" spans="1:9" s="99" customFormat="1" ht="48">
      <c r="A142" s="104" t="s">
        <v>213</v>
      </c>
      <c r="B142" s="127" t="s">
        <v>415</v>
      </c>
      <c r="C142" s="127" t="s">
        <v>13</v>
      </c>
      <c r="D142" s="127" t="s">
        <v>44</v>
      </c>
      <c r="E142" s="128" t="s">
        <v>215</v>
      </c>
      <c r="F142" s="128" t="s">
        <v>214</v>
      </c>
      <c r="G142" s="129">
        <f t="shared" si="24"/>
        <v>5015</v>
      </c>
      <c r="H142" s="129">
        <f t="shared" si="24"/>
        <v>5015</v>
      </c>
      <c r="I142" s="130">
        <f t="shared" si="22"/>
        <v>100</v>
      </c>
    </row>
    <row r="143" spans="1:9" s="99" customFormat="1" ht="24">
      <c r="A143" s="104" t="s">
        <v>94</v>
      </c>
      <c r="B143" s="127" t="s">
        <v>415</v>
      </c>
      <c r="C143" s="127" t="s">
        <v>13</v>
      </c>
      <c r="D143" s="127" t="s">
        <v>44</v>
      </c>
      <c r="E143" s="128" t="s">
        <v>215</v>
      </c>
      <c r="F143" s="128" t="s">
        <v>167</v>
      </c>
      <c r="G143" s="129">
        <f t="shared" ref="G143:H145" si="25">900</f>
        <v>900</v>
      </c>
      <c r="H143" s="129">
        <f t="shared" si="25"/>
        <v>900</v>
      </c>
      <c r="I143" s="130">
        <f t="shared" si="22"/>
        <v>100</v>
      </c>
    </row>
    <row r="144" spans="1:9" s="99" customFormat="1" ht="36">
      <c r="A144" s="104" t="s">
        <v>137</v>
      </c>
      <c r="B144" s="127" t="s">
        <v>415</v>
      </c>
      <c r="C144" s="127" t="s">
        <v>13</v>
      </c>
      <c r="D144" s="127" t="s">
        <v>44</v>
      </c>
      <c r="E144" s="128" t="s">
        <v>215</v>
      </c>
      <c r="F144" s="128" t="s">
        <v>168</v>
      </c>
      <c r="G144" s="129">
        <f t="shared" si="25"/>
        <v>900</v>
      </c>
      <c r="H144" s="129">
        <f t="shared" si="25"/>
        <v>900</v>
      </c>
      <c r="I144" s="130">
        <f t="shared" si="22"/>
        <v>100</v>
      </c>
    </row>
    <row r="145" spans="1:14" s="99" customFormat="1" ht="12">
      <c r="A145" s="104" t="s">
        <v>138</v>
      </c>
      <c r="B145" s="127" t="s">
        <v>415</v>
      </c>
      <c r="C145" s="127" t="s">
        <v>13</v>
      </c>
      <c r="D145" s="127" t="s">
        <v>44</v>
      </c>
      <c r="E145" s="128" t="s">
        <v>215</v>
      </c>
      <c r="F145" s="128" t="s">
        <v>169</v>
      </c>
      <c r="G145" s="129">
        <f t="shared" si="25"/>
        <v>900</v>
      </c>
      <c r="H145" s="129">
        <f t="shared" si="25"/>
        <v>900</v>
      </c>
      <c r="I145" s="130">
        <f t="shared" si="22"/>
        <v>100</v>
      </c>
    </row>
    <row r="146" spans="1:14" s="102" customFormat="1" ht="12">
      <c r="A146" s="105" t="s">
        <v>136</v>
      </c>
      <c r="B146" s="123" t="s">
        <v>415</v>
      </c>
      <c r="C146" s="123" t="s">
        <v>15</v>
      </c>
      <c r="D146" s="123" t="s">
        <v>129</v>
      </c>
      <c r="E146" s="124" t="s">
        <v>271</v>
      </c>
      <c r="F146" s="124" t="s">
        <v>271</v>
      </c>
      <c r="G146" s="125">
        <f>11143788.84</f>
        <v>11143788.84</v>
      </c>
      <c r="H146" s="126">
        <v>10953241.52</v>
      </c>
      <c r="I146" s="126">
        <f t="shared" si="22"/>
        <v>98.290102919789348</v>
      </c>
      <c r="M146" s="99"/>
      <c r="N146" s="99"/>
    </row>
    <row r="147" spans="1:14" s="99" customFormat="1" ht="12">
      <c r="A147" s="104" t="s">
        <v>34</v>
      </c>
      <c r="B147" s="127" t="s">
        <v>415</v>
      </c>
      <c r="C147" s="127" t="s">
        <v>15</v>
      </c>
      <c r="D147" s="127" t="s">
        <v>12</v>
      </c>
      <c r="E147" s="128" t="s">
        <v>271</v>
      </c>
      <c r="F147" s="128" t="s">
        <v>271</v>
      </c>
      <c r="G147" s="129">
        <f>2849932.87</f>
        <v>2849932.87</v>
      </c>
      <c r="H147" s="130">
        <v>2848951.39</v>
      </c>
      <c r="I147" s="130">
        <f t="shared" si="22"/>
        <v>99.965561294080587</v>
      </c>
    </row>
    <row r="148" spans="1:14" s="99" customFormat="1" ht="48">
      <c r="A148" s="104" t="s">
        <v>393</v>
      </c>
      <c r="B148" s="127" t="s">
        <v>415</v>
      </c>
      <c r="C148" s="127" t="s">
        <v>15</v>
      </c>
      <c r="D148" s="127" t="s">
        <v>12</v>
      </c>
      <c r="E148" s="128" t="s">
        <v>131</v>
      </c>
      <c r="F148" s="128" t="s">
        <v>271</v>
      </c>
      <c r="G148" s="129">
        <f t="shared" ref="G148:H152" si="26">240000</f>
        <v>240000</v>
      </c>
      <c r="H148" s="129">
        <f t="shared" si="26"/>
        <v>240000</v>
      </c>
      <c r="I148" s="130">
        <f t="shared" si="22"/>
        <v>100</v>
      </c>
    </row>
    <row r="149" spans="1:14" s="99" customFormat="1" ht="48">
      <c r="A149" s="104" t="s">
        <v>250</v>
      </c>
      <c r="B149" s="127" t="s">
        <v>415</v>
      </c>
      <c r="C149" s="127" t="s">
        <v>15</v>
      </c>
      <c r="D149" s="127" t="s">
        <v>12</v>
      </c>
      <c r="E149" s="128" t="s">
        <v>251</v>
      </c>
      <c r="F149" s="128" t="s">
        <v>271</v>
      </c>
      <c r="G149" s="129">
        <f t="shared" si="26"/>
        <v>240000</v>
      </c>
      <c r="H149" s="129">
        <f t="shared" si="26"/>
        <v>240000</v>
      </c>
      <c r="I149" s="130">
        <f t="shared" si="22"/>
        <v>100</v>
      </c>
    </row>
    <row r="150" spans="1:14" s="99" customFormat="1" ht="24">
      <c r="A150" s="104" t="s">
        <v>394</v>
      </c>
      <c r="B150" s="127" t="s">
        <v>415</v>
      </c>
      <c r="C150" s="127" t="s">
        <v>15</v>
      </c>
      <c r="D150" s="127" t="s">
        <v>12</v>
      </c>
      <c r="E150" s="128" t="s">
        <v>395</v>
      </c>
      <c r="F150" s="128" t="s">
        <v>271</v>
      </c>
      <c r="G150" s="129">
        <f t="shared" si="26"/>
        <v>240000</v>
      </c>
      <c r="H150" s="129">
        <f t="shared" si="26"/>
        <v>240000</v>
      </c>
      <c r="I150" s="130">
        <f t="shared" si="22"/>
        <v>100</v>
      </c>
    </row>
    <row r="151" spans="1:14" s="99" customFormat="1" ht="60">
      <c r="A151" s="104" t="s">
        <v>139</v>
      </c>
      <c r="B151" s="127" t="s">
        <v>415</v>
      </c>
      <c r="C151" s="127" t="s">
        <v>15</v>
      </c>
      <c r="D151" s="127" t="s">
        <v>12</v>
      </c>
      <c r="E151" s="128" t="s">
        <v>395</v>
      </c>
      <c r="F151" s="128" t="s">
        <v>151</v>
      </c>
      <c r="G151" s="129">
        <f t="shared" si="26"/>
        <v>240000</v>
      </c>
      <c r="H151" s="129">
        <f t="shared" si="26"/>
        <v>240000</v>
      </c>
      <c r="I151" s="130">
        <f t="shared" si="22"/>
        <v>100</v>
      </c>
    </row>
    <row r="152" spans="1:14" s="99" customFormat="1" ht="24">
      <c r="A152" s="104" t="s">
        <v>183</v>
      </c>
      <c r="B152" s="127" t="s">
        <v>415</v>
      </c>
      <c r="C152" s="127" t="s">
        <v>15</v>
      </c>
      <c r="D152" s="127" t="s">
        <v>12</v>
      </c>
      <c r="E152" s="128" t="s">
        <v>395</v>
      </c>
      <c r="F152" s="128" t="s">
        <v>184</v>
      </c>
      <c r="G152" s="129">
        <f t="shared" si="26"/>
        <v>240000</v>
      </c>
      <c r="H152" s="129">
        <f t="shared" si="26"/>
        <v>240000</v>
      </c>
      <c r="I152" s="130">
        <f t="shared" si="22"/>
        <v>100</v>
      </c>
    </row>
    <row r="153" spans="1:14" s="99" customFormat="1" ht="12">
      <c r="A153" s="104" t="s">
        <v>135</v>
      </c>
      <c r="B153" s="127" t="s">
        <v>415</v>
      </c>
      <c r="C153" s="127" t="s">
        <v>15</v>
      </c>
      <c r="D153" s="127" t="s">
        <v>12</v>
      </c>
      <c r="E153" s="128" t="s">
        <v>395</v>
      </c>
      <c r="F153" s="128" t="s">
        <v>185</v>
      </c>
      <c r="G153" s="129">
        <f>184331.8</f>
        <v>184331.8</v>
      </c>
      <c r="H153" s="129">
        <f>184331.8</f>
        <v>184331.8</v>
      </c>
      <c r="I153" s="130">
        <f t="shared" si="22"/>
        <v>100</v>
      </c>
    </row>
    <row r="154" spans="1:14" s="99" customFormat="1" ht="36">
      <c r="A154" s="104" t="s">
        <v>188</v>
      </c>
      <c r="B154" s="127" t="s">
        <v>415</v>
      </c>
      <c r="C154" s="127" t="s">
        <v>15</v>
      </c>
      <c r="D154" s="127" t="s">
        <v>12</v>
      </c>
      <c r="E154" s="128" t="s">
        <v>395</v>
      </c>
      <c r="F154" s="128" t="s">
        <v>189</v>
      </c>
      <c r="G154" s="129">
        <f>55668.2</f>
        <v>55668.2</v>
      </c>
      <c r="H154" s="129">
        <f>55668.2</f>
        <v>55668.2</v>
      </c>
      <c r="I154" s="130">
        <f t="shared" si="22"/>
        <v>100</v>
      </c>
    </row>
    <row r="155" spans="1:14" s="99" customFormat="1" ht="48">
      <c r="A155" s="104" t="s">
        <v>179</v>
      </c>
      <c r="B155" s="127" t="s">
        <v>415</v>
      </c>
      <c r="C155" s="127" t="s">
        <v>15</v>
      </c>
      <c r="D155" s="127" t="s">
        <v>12</v>
      </c>
      <c r="E155" s="128" t="s">
        <v>180</v>
      </c>
      <c r="F155" s="128" t="s">
        <v>271</v>
      </c>
      <c r="G155" s="129">
        <f>2609932.87</f>
        <v>2609932.87</v>
      </c>
      <c r="H155" s="130">
        <v>2608951.39</v>
      </c>
      <c r="I155" s="130">
        <f t="shared" si="22"/>
        <v>99.962394435072198</v>
      </c>
    </row>
    <row r="156" spans="1:14" s="99" customFormat="1" ht="36">
      <c r="A156" s="104" t="s">
        <v>396</v>
      </c>
      <c r="B156" s="127" t="s">
        <v>415</v>
      </c>
      <c r="C156" s="127" t="s">
        <v>15</v>
      </c>
      <c r="D156" s="127" t="s">
        <v>12</v>
      </c>
      <c r="E156" s="128" t="s">
        <v>216</v>
      </c>
      <c r="F156" s="128" t="s">
        <v>271</v>
      </c>
      <c r="G156" s="129">
        <f>2609932.87</f>
        <v>2609932.87</v>
      </c>
      <c r="H156" s="130">
        <v>2608951.39</v>
      </c>
      <c r="I156" s="130">
        <f t="shared" si="22"/>
        <v>99.962394435072198</v>
      </c>
    </row>
    <row r="157" spans="1:14" s="99" customFormat="1" ht="24">
      <c r="A157" s="104" t="s">
        <v>394</v>
      </c>
      <c r="B157" s="127" t="s">
        <v>415</v>
      </c>
      <c r="C157" s="127" t="s">
        <v>15</v>
      </c>
      <c r="D157" s="127" t="s">
        <v>12</v>
      </c>
      <c r="E157" s="128" t="s">
        <v>217</v>
      </c>
      <c r="F157" s="128" t="s">
        <v>271</v>
      </c>
      <c r="G157" s="129">
        <f t="shared" ref="G157:H159" si="27">970709.87</f>
        <v>970709.87</v>
      </c>
      <c r="H157" s="129">
        <f t="shared" si="27"/>
        <v>970709.87</v>
      </c>
      <c r="I157" s="130">
        <f t="shared" si="22"/>
        <v>100</v>
      </c>
    </row>
    <row r="158" spans="1:14" s="99" customFormat="1" ht="60">
      <c r="A158" s="104" t="s">
        <v>139</v>
      </c>
      <c r="B158" s="127" t="s">
        <v>415</v>
      </c>
      <c r="C158" s="127" t="s">
        <v>15</v>
      </c>
      <c r="D158" s="127" t="s">
        <v>12</v>
      </c>
      <c r="E158" s="128" t="s">
        <v>217</v>
      </c>
      <c r="F158" s="128" t="s">
        <v>151</v>
      </c>
      <c r="G158" s="129">
        <f t="shared" si="27"/>
        <v>970709.87</v>
      </c>
      <c r="H158" s="129">
        <f t="shared" si="27"/>
        <v>970709.87</v>
      </c>
      <c r="I158" s="130">
        <f t="shared" si="22"/>
        <v>100</v>
      </c>
    </row>
    <row r="159" spans="1:14" s="99" customFormat="1" ht="24">
      <c r="A159" s="104" t="s">
        <v>183</v>
      </c>
      <c r="B159" s="127" t="s">
        <v>415</v>
      </c>
      <c r="C159" s="127" t="s">
        <v>15</v>
      </c>
      <c r="D159" s="127" t="s">
        <v>12</v>
      </c>
      <c r="E159" s="128" t="s">
        <v>217</v>
      </c>
      <c r="F159" s="128" t="s">
        <v>184</v>
      </c>
      <c r="G159" s="129">
        <f t="shared" si="27"/>
        <v>970709.87</v>
      </c>
      <c r="H159" s="129">
        <f t="shared" si="27"/>
        <v>970709.87</v>
      </c>
      <c r="I159" s="130">
        <f t="shared" si="22"/>
        <v>100</v>
      </c>
    </row>
    <row r="160" spans="1:14" s="99" customFormat="1" ht="12">
      <c r="A160" s="104" t="s">
        <v>135</v>
      </c>
      <c r="B160" s="127" t="s">
        <v>415</v>
      </c>
      <c r="C160" s="127" t="s">
        <v>15</v>
      </c>
      <c r="D160" s="127" t="s">
        <v>12</v>
      </c>
      <c r="E160" s="128" t="s">
        <v>217</v>
      </c>
      <c r="F160" s="128" t="s">
        <v>185</v>
      </c>
      <c r="G160" s="129">
        <f>745843.09</f>
        <v>745843.09</v>
      </c>
      <c r="H160" s="129">
        <f>745843.09</f>
        <v>745843.09</v>
      </c>
      <c r="I160" s="130">
        <f t="shared" si="22"/>
        <v>100</v>
      </c>
    </row>
    <row r="161" spans="1:9" s="99" customFormat="1" ht="36">
      <c r="A161" s="104" t="s">
        <v>188</v>
      </c>
      <c r="B161" s="127" t="s">
        <v>415</v>
      </c>
      <c r="C161" s="127" t="s">
        <v>15</v>
      </c>
      <c r="D161" s="127" t="s">
        <v>12</v>
      </c>
      <c r="E161" s="128" t="s">
        <v>217</v>
      </c>
      <c r="F161" s="128" t="s">
        <v>189</v>
      </c>
      <c r="G161" s="129">
        <f>224866.78</f>
        <v>224866.78</v>
      </c>
      <c r="H161" s="129">
        <f>224866.78</f>
        <v>224866.78</v>
      </c>
      <c r="I161" s="130">
        <f t="shared" si="22"/>
        <v>100</v>
      </c>
    </row>
    <row r="162" spans="1:9" s="99" customFormat="1" ht="24">
      <c r="A162" s="104" t="s">
        <v>218</v>
      </c>
      <c r="B162" s="127" t="s">
        <v>415</v>
      </c>
      <c r="C162" s="127" t="s">
        <v>15</v>
      </c>
      <c r="D162" s="127" t="s">
        <v>12</v>
      </c>
      <c r="E162" s="128" t="s">
        <v>219</v>
      </c>
      <c r="F162" s="128" t="s">
        <v>271</v>
      </c>
      <c r="G162" s="129">
        <f>1639223</f>
        <v>1639223</v>
      </c>
      <c r="H162" s="130">
        <v>1638241.52</v>
      </c>
      <c r="I162" s="130">
        <f t="shared" si="22"/>
        <v>99.940125291067787</v>
      </c>
    </row>
    <row r="163" spans="1:9" s="99" customFormat="1" ht="60">
      <c r="A163" s="104" t="s">
        <v>139</v>
      </c>
      <c r="B163" s="127" t="s">
        <v>415</v>
      </c>
      <c r="C163" s="127" t="s">
        <v>15</v>
      </c>
      <c r="D163" s="127" t="s">
        <v>12</v>
      </c>
      <c r="E163" s="128" t="s">
        <v>219</v>
      </c>
      <c r="F163" s="128" t="s">
        <v>151</v>
      </c>
      <c r="G163" s="129">
        <f>1639223</f>
        <v>1639223</v>
      </c>
      <c r="H163" s="130">
        <v>1638241.52</v>
      </c>
      <c r="I163" s="130">
        <f t="shared" si="22"/>
        <v>99.940125291067787</v>
      </c>
    </row>
    <row r="164" spans="1:9" s="99" customFormat="1" ht="24">
      <c r="A164" s="104" t="s">
        <v>183</v>
      </c>
      <c r="B164" s="127" t="s">
        <v>415</v>
      </c>
      <c r="C164" s="127" t="s">
        <v>15</v>
      </c>
      <c r="D164" s="127" t="s">
        <v>12</v>
      </c>
      <c r="E164" s="128" t="s">
        <v>219</v>
      </c>
      <c r="F164" s="128" t="s">
        <v>184</v>
      </c>
      <c r="G164" s="129">
        <f>1639223</f>
        <v>1639223</v>
      </c>
      <c r="H164" s="130">
        <v>1638241.52</v>
      </c>
      <c r="I164" s="130">
        <f t="shared" si="22"/>
        <v>99.940125291067787</v>
      </c>
    </row>
    <row r="165" spans="1:9" s="99" customFormat="1" ht="12">
      <c r="A165" s="104" t="s">
        <v>135</v>
      </c>
      <c r="B165" s="127" t="s">
        <v>415</v>
      </c>
      <c r="C165" s="127" t="s">
        <v>15</v>
      </c>
      <c r="D165" s="127" t="s">
        <v>12</v>
      </c>
      <c r="E165" s="128" t="s">
        <v>219</v>
      </c>
      <c r="F165" s="128" t="s">
        <v>185</v>
      </c>
      <c r="G165" s="129">
        <f>1258941.3</f>
        <v>1258941.3</v>
      </c>
      <c r="H165" s="130">
        <v>1257959.82</v>
      </c>
      <c r="I165" s="130">
        <f t="shared" si="22"/>
        <v>99.922039256317987</v>
      </c>
    </row>
    <row r="166" spans="1:9" s="99" customFormat="1" ht="36">
      <c r="A166" s="104" t="s">
        <v>188</v>
      </c>
      <c r="B166" s="127" t="s">
        <v>415</v>
      </c>
      <c r="C166" s="127" t="s">
        <v>15</v>
      </c>
      <c r="D166" s="127" t="s">
        <v>12</v>
      </c>
      <c r="E166" s="128" t="s">
        <v>219</v>
      </c>
      <c r="F166" s="128" t="s">
        <v>189</v>
      </c>
      <c r="G166" s="129">
        <f>380281.7</f>
        <v>380281.7</v>
      </c>
      <c r="H166" s="129">
        <f>380281.7</f>
        <v>380281.7</v>
      </c>
      <c r="I166" s="130">
        <f t="shared" si="22"/>
        <v>100</v>
      </c>
    </row>
    <row r="167" spans="1:9" s="99" customFormat="1" ht="12">
      <c r="A167" s="104" t="s">
        <v>146</v>
      </c>
      <c r="B167" s="127" t="s">
        <v>415</v>
      </c>
      <c r="C167" s="127" t="s">
        <v>15</v>
      </c>
      <c r="D167" s="127" t="s">
        <v>16</v>
      </c>
      <c r="E167" s="128" t="s">
        <v>271</v>
      </c>
      <c r="F167" s="128" t="s">
        <v>271</v>
      </c>
      <c r="G167" s="129">
        <f>19685.71</f>
        <v>19685.71</v>
      </c>
      <c r="H167" s="129">
        <f>19685.71</f>
        <v>19685.71</v>
      </c>
      <c r="I167" s="130">
        <f t="shared" si="22"/>
        <v>100</v>
      </c>
    </row>
    <row r="168" spans="1:9" s="99" customFormat="1" ht="48">
      <c r="A168" s="104" t="s">
        <v>397</v>
      </c>
      <c r="B168" s="127" t="s">
        <v>415</v>
      </c>
      <c r="C168" s="127" t="s">
        <v>15</v>
      </c>
      <c r="D168" s="127" t="s">
        <v>16</v>
      </c>
      <c r="E168" s="128" t="s">
        <v>130</v>
      </c>
      <c r="F168" s="128" t="s">
        <v>271</v>
      </c>
      <c r="G168" s="129">
        <f t="shared" ref="G168:H173" si="28">19488.95</f>
        <v>19488.95</v>
      </c>
      <c r="H168" s="129">
        <f t="shared" si="28"/>
        <v>19488.95</v>
      </c>
      <c r="I168" s="130">
        <f t="shared" si="22"/>
        <v>100</v>
      </c>
    </row>
    <row r="169" spans="1:9" s="99" customFormat="1" ht="24">
      <c r="A169" s="104" t="s">
        <v>220</v>
      </c>
      <c r="B169" s="127" t="s">
        <v>415</v>
      </c>
      <c r="C169" s="127" t="s">
        <v>15</v>
      </c>
      <c r="D169" s="127" t="s">
        <v>16</v>
      </c>
      <c r="E169" s="128" t="s">
        <v>221</v>
      </c>
      <c r="F169" s="128" t="s">
        <v>271</v>
      </c>
      <c r="G169" s="129">
        <f t="shared" si="28"/>
        <v>19488.95</v>
      </c>
      <c r="H169" s="129">
        <f t="shared" si="28"/>
        <v>19488.95</v>
      </c>
      <c r="I169" s="130">
        <f t="shared" si="22"/>
        <v>100</v>
      </c>
    </row>
    <row r="170" spans="1:9" s="99" customFormat="1" ht="48">
      <c r="A170" s="104" t="s">
        <v>222</v>
      </c>
      <c r="B170" s="127" t="s">
        <v>415</v>
      </c>
      <c r="C170" s="127" t="s">
        <v>15</v>
      </c>
      <c r="D170" s="127" t="s">
        <v>16</v>
      </c>
      <c r="E170" s="128" t="s">
        <v>223</v>
      </c>
      <c r="F170" s="128" t="s">
        <v>271</v>
      </c>
      <c r="G170" s="129">
        <f t="shared" si="28"/>
        <v>19488.95</v>
      </c>
      <c r="H170" s="129">
        <f t="shared" si="28"/>
        <v>19488.95</v>
      </c>
      <c r="I170" s="130">
        <f t="shared" ref="I170:I202" si="29">H170/G170*100</f>
        <v>100</v>
      </c>
    </row>
    <row r="171" spans="1:9" s="99" customFormat="1" ht="24">
      <c r="A171" s="104" t="s">
        <v>94</v>
      </c>
      <c r="B171" s="127" t="s">
        <v>415</v>
      </c>
      <c r="C171" s="127" t="s">
        <v>15</v>
      </c>
      <c r="D171" s="127" t="s">
        <v>16</v>
      </c>
      <c r="E171" s="128" t="s">
        <v>223</v>
      </c>
      <c r="F171" s="128" t="s">
        <v>167</v>
      </c>
      <c r="G171" s="129">
        <f t="shared" si="28"/>
        <v>19488.95</v>
      </c>
      <c r="H171" s="129">
        <f t="shared" si="28"/>
        <v>19488.95</v>
      </c>
      <c r="I171" s="130">
        <f t="shared" si="29"/>
        <v>100</v>
      </c>
    </row>
    <row r="172" spans="1:9" s="99" customFormat="1" ht="36">
      <c r="A172" s="104" t="s">
        <v>137</v>
      </c>
      <c r="B172" s="127" t="s">
        <v>415</v>
      </c>
      <c r="C172" s="127" t="s">
        <v>15</v>
      </c>
      <c r="D172" s="127" t="s">
        <v>16</v>
      </c>
      <c r="E172" s="128" t="s">
        <v>223</v>
      </c>
      <c r="F172" s="128" t="s">
        <v>168</v>
      </c>
      <c r="G172" s="129">
        <f t="shared" si="28"/>
        <v>19488.95</v>
      </c>
      <c r="H172" s="129">
        <f t="shared" si="28"/>
        <v>19488.95</v>
      </c>
      <c r="I172" s="130">
        <f t="shared" si="29"/>
        <v>100</v>
      </c>
    </row>
    <row r="173" spans="1:9" s="99" customFormat="1" ht="12">
      <c r="A173" s="104" t="s">
        <v>138</v>
      </c>
      <c r="B173" s="127" t="s">
        <v>415</v>
      </c>
      <c r="C173" s="127" t="s">
        <v>15</v>
      </c>
      <c r="D173" s="127" t="s">
        <v>16</v>
      </c>
      <c r="E173" s="128" t="s">
        <v>223</v>
      </c>
      <c r="F173" s="128" t="s">
        <v>169</v>
      </c>
      <c r="G173" s="129">
        <f t="shared" si="28"/>
        <v>19488.95</v>
      </c>
      <c r="H173" s="129">
        <f t="shared" si="28"/>
        <v>19488.95</v>
      </c>
      <c r="I173" s="130">
        <f t="shared" si="29"/>
        <v>100</v>
      </c>
    </row>
    <row r="174" spans="1:9" s="99" customFormat="1" ht="48">
      <c r="A174" s="104" t="s">
        <v>148</v>
      </c>
      <c r="B174" s="127" t="s">
        <v>415</v>
      </c>
      <c r="C174" s="127" t="s">
        <v>15</v>
      </c>
      <c r="D174" s="127" t="s">
        <v>16</v>
      </c>
      <c r="E174" s="128" t="s">
        <v>105</v>
      </c>
      <c r="F174" s="128" t="s">
        <v>271</v>
      </c>
      <c r="G174" s="129">
        <f t="shared" ref="G174:H178" si="30">196.76</f>
        <v>196.76</v>
      </c>
      <c r="H174" s="129">
        <f t="shared" si="30"/>
        <v>196.76</v>
      </c>
      <c r="I174" s="130">
        <f t="shared" si="29"/>
        <v>100</v>
      </c>
    </row>
    <row r="175" spans="1:9" s="99" customFormat="1" ht="48">
      <c r="A175" s="104" t="s">
        <v>149</v>
      </c>
      <c r="B175" s="127" t="s">
        <v>415</v>
      </c>
      <c r="C175" s="127" t="s">
        <v>15</v>
      </c>
      <c r="D175" s="127" t="s">
        <v>16</v>
      </c>
      <c r="E175" s="128" t="s">
        <v>106</v>
      </c>
      <c r="F175" s="128" t="s">
        <v>271</v>
      </c>
      <c r="G175" s="129">
        <f t="shared" si="30"/>
        <v>196.76</v>
      </c>
      <c r="H175" s="129">
        <f t="shared" si="30"/>
        <v>196.76</v>
      </c>
      <c r="I175" s="130">
        <f t="shared" si="29"/>
        <v>100</v>
      </c>
    </row>
    <row r="176" spans="1:9" s="99" customFormat="1" ht="24">
      <c r="A176" s="104" t="s">
        <v>224</v>
      </c>
      <c r="B176" s="127" t="s">
        <v>415</v>
      </c>
      <c r="C176" s="127" t="s">
        <v>15</v>
      </c>
      <c r="D176" s="127" t="s">
        <v>16</v>
      </c>
      <c r="E176" s="128" t="s">
        <v>225</v>
      </c>
      <c r="F176" s="128" t="s">
        <v>271</v>
      </c>
      <c r="G176" s="129">
        <f t="shared" si="30"/>
        <v>196.76</v>
      </c>
      <c r="H176" s="129">
        <f t="shared" si="30"/>
        <v>196.76</v>
      </c>
      <c r="I176" s="130">
        <f t="shared" si="29"/>
        <v>100</v>
      </c>
    </row>
    <row r="177" spans="1:9" s="99" customFormat="1" ht="60">
      <c r="A177" s="104" t="s">
        <v>139</v>
      </c>
      <c r="B177" s="127" t="s">
        <v>415</v>
      </c>
      <c r="C177" s="127" t="s">
        <v>15</v>
      </c>
      <c r="D177" s="127" t="s">
        <v>16</v>
      </c>
      <c r="E177" s="128" t="s">
        <v>225</v>
      </c>
      <c r="F177" s="128" t="s">
        <v>151</v>
      </c>
      <c r="G177" s="129">
        <f t="shared" si="30"/>
        <v>196.76</v>
      </c>
      <c r="H177" s="129">
        <f t="shared" si="30"/>
        <v>196.76</v>
      </c>
      <c r="I177" s="130">
        <f t="shared" si="29"/>
        <v>100</v>
      </c>
    </row>
    <row r="178" spans="1:9" s="99" customFormat="1" ht="24">
      <c r="A178" s="104" t="s">
        <v>96</v>
      </c>
      <c r="B178" s="127" t="s">
        <v>415</v>
      </c>
      <c r="C178" s="127" t="s">
        <v>15</v>
      </c>
      <c r="D178" s="127" t="s">
        <v>16</v>
      </c>
      <c r="E178" s="128" t="s">
        <v>225</v>
      </c>
      <c r="F178" s="128" t="s">
        <v>152</v>
      </c>
      <c r="G178" s="129">
        <f t="shared" si="30"/>
        <v>196.76</v>
      </c>
      <c r="H178" s="129">
        <f t="shared" si="30"/>
        <v>196.76</v>
      </c>
      <c r="I178" s="130">
        <f t="shared" si="29"/>
        <v>100</v>
      </c>
    </row>
    <row r="179" spans="1:9" s="99" customFormat="1" ht="24">
      <c r="A179" s="104" t="s">
        <v>153</v>
      </c>
      <c r="B179" s="127" t="s">
        <v>415</v>
      </c>
      <c r="C179" s="127" t="s">
        <v>15</v>
      </c>
      <c r="D179" s="127" t="s">
        <v>16</v>
      </c>
      <c r="E179" s="128" t="s">
        <v>225</v>
      </c>
      <c r="F179" s="128" t="s">
        <v>154</v>
      </c>
      <c r="G179" s="129">
        <f>151.12</f>
        <v>151.12</v>
      </c>
      <c r="H179" s="129">
        <f>151.12</f>
        <v>151.12</v>
      </c>
      <c r="I179" s="130">
        <f t="shared" si="29"/>
        <v>100</v>
      </c>
    </row>
    <row r="180" spans="1:9" s="99" customFormat="1" ht="48">
      <c r="A180" s="104" t="s">
        <v>93</v>
      </c>
      <c r="B180" s="127" t="s">
        <v>415</v>
      </c>
      <c r="C180" s="127" t="s">
        <v>15</v>
      </c>
      <c r="D180" s="127" t="s">
        <v>16</v>
      </c>
      <c r="E180" s="128" t="s">
        <v>225</v>
      </c>
      <c r="F180" s="128" t="s">
        <v>155</v>
      </c>
      <c r="G180" s="129">
        <f>45.64</f>
        <v>45.64</v>
      </c>
      <c r="H180" s="129">
        <f>45.64</f>
        <v>45.64</v>
      </c>
      <c r="I180" s="130">
        <f t="shared" si="29"/>
        <v>100</v>
      </c>
    </row>
    <row r="181" spans="1:9" s="102" customFormat="1" ht="12">
      <c r="A181" s="105" t="s">
        <v>47</v>
      </c>
      <c r="B181" s="123" t="s">
        <v>415</v>
      </c>
      <c r="C181" s="127" t="s">
        <v>15</v>
      </c>
      <c r="D181" s="123" t="s">
        <v>20</v>
      </c>
      <c r="E181" s="124" t="s">
        <v>271</v>
      </c>
      <c r="F181" s="124" t="s">
        <v>271</v>
      </c>
      <c r="G181" s="125">
        <f>8025360.26</f>
        <v>8025360.2599999998</v>
      </c>
      <c r="H181" s="126">
        <v>7835794.4199999999</v>
      </c>
      <c r="I181" s="126">
        <f t="shared" si="29"/>
        <v>97.63791488657732</v>
      </c>
    </row>
    <row r="182" spans="1:9" s="99" customFormat="1" ht="48">
      <c r="A182" s="104" t="s">
        <v>226</v>
      </c>
      <c r="B182" s="127" t="s">
        <v>415</v>
      </c>
      <c r="C182" s="127" t="s">
        <v>15</v>
      </c>
      <c r="D182" s="127" t="s">
        <v>20</v>
      </c>
      <c r="E182" s="128" t="s">
        <v>103</v>
      </c>
      <c r="F182" s="128" t="s">
        <v>271</v>
      </c>
      <c r="G182" s="129">
        <f>8025360.26</f>
        <v>8025360.2599999998</v>
      </c>
      <c r="H182" s="130">
        <v>7835794.4199999999</v>
      </c>
      <c r="I182" s="130">
        <f t="shared" si="29"/>
        <v>97.63791488657732</v>
      </c>
    </row>
    <row r="183" spans="1:9" s="99" customFormat="1" ht="24">
      <c r="A183" s="104" t="s">
        <v>398</v>
      </c>
      <c r="B183" s="127" t="s">
        <v>415</v>
      </c>
      <c r="C183" s="127" t="s">
        <v>15</v>
      </c>
      <c r="D183" s="127" t="s">
        <v>20</v>
      </c>
      <c r="E183" s="128" t="s">
        <v>227</v>
      </c>
      <c r="F183" s="128" t="s">
        <v>271</v>
      </c>
      <c r="G183" s="129">
        <f>5119906.99</f>
        <v>5119906.99</v>
      </c>
      <c r="H183" s="130">
        <v>5119906.99</v>
      </c>
      <c r="I183" s="130">
        <f t="shared" si="29"/>
        <v>100</v>
      </c>
    </row>
    <row r="184" spans="1:9" s="99" customFormat="1" ht="24">
      <c r="A184" s="104" t="s">
        <v>399</v>
      </c>
      <c r="B184" s="127" t="s">
        <v>415</v>
      </c>
      <c r="C184" s="127" t="s">
        <v>15</v>
      </c>
      <c r="D184" s="127" t="s">
        <v>20</v>
      </c>
      <c r="E184" s="128" t="s">
        <v>228</v>
      </c>
      <c r="F184" s="128" t="s">
        <v>271</v>
      </c>
      <c r="G184" s="129">
        <f t="shared" ref="G184:H187" si="31">4119906.99</f>
        <v>4119906.99</v>
      </c>
      <c r="H184" s="129">
        <f t="shared" si="31"/>
        <v>4119906.99</v>
      </c>
      <c r="I184" s="130">
        <f t="shared" si="29"/>
        <v>100</v>
      </c>
    </row>
    <row r="185" spans="1:9" s="99" customFormat="1" ht="24">
      <c r="A185" s="104" t="s">
        <v>94</v>
      </c>
      <c r="B185" s="127" t="s">
        <v>415</v>
      </c>
      <c r="C185" s="127" t="s">
        <v>15</v>
      </c>
      <c r="D185" s="127" t="s">
        <v>20</v>
      </c>
      <c r="E185" s="128" t="s">
        <v>228</v>
      </c>
      <c r="F185" s="128" t="s">
        <v>167</v>
      </c>
      <c r="G185" s="129">
        <f t="shared" si="31"/>
        <v>4119906.99</v>
      </c>
      <c r="H185" s="129">
        <f t="shared" si="31"/>
        <v>4119906.99</v>
      </c>
      <c r="I185" s="130">
        <f t="shared" si="29"/>
        <v>100</v>
      </c>
    </row>
    <row r="186" spans="1:9" s="99" customFormat="1" ht="36">
      <c r="A186" s="104" t="s">
        <v>137</v>
      </c>
      <c r="B186" s="127" t="s">
        <v>415</v>
      </c>
      <c r="C186" s="127" t="s">
        <v>15</v>
      </c>
      <c r="D186" s="127" t="s">
        <v>20</v>
      </c>
      <c r="E186" s="128" t="s">
        <v>228</v>
      </c>
      <c r="F186" s="128" t="s">
        <v>168</v>
      </c>
      <c r="G186" s="129">
        <f t="shared" si="31"/>
        <v>4119906.99</v>
      </c>
      <c r="H186" s="129">
        <f t="shared" si="31"/>
        <v>4119906.99</v>
      </c>
      <c r="I186" s="130">
        <f t="shared" si="29"/>
        <v>100</v>
      </c>
    </row>
    <row r="187" spans="1:9" s="99" customFormat="1" ht="12">
      <c r="A187" s="104" t="s">
        <v>138</v>
      </c>
      <c r="B187" s="127" t="s">
        <v>415</v>
      </c>
      <c r="C187" s="127" t="s">
        <v>15</v>
      </c>
      <c r="D187" s="127" t="s">
        <v>20</v>
      </c>
      <c r="E187" s="128" t="s">
        <v>228</v>
      </c>
      <c r="F187" s="128" t="s">
        <v>169</v>
      </c>
      <c r="G187" s="129">
        <f t="shared" si="31"/>
        <v>4119906.99</v>
      </c>
      <c r="H187" s="129">
        <f t="shared" si="31"/>
        <v>4119906.99</v>
      </c>
      <c r="I187" s="130">
        <f t="shared" si="29"/>
        <v>100</v>
      </c>
    </row>
    <row r="188" spans="1:9" s="99" customFormat="1" ht="24">
      <c r="A188" s="104" t="s">
        <v>229</v>
      </c>
      <c r="B188" s="127" t="s">
        <v>415</v>
      </c>
      <c r="C188" s="127" t="s">
        <v>15</v>
      </c>
      <c r="D188" s="127" t="s">
        <v>20</v>
      </c>
      <c r="E188" s="128" t="s">
        <v>230</v>
      </c>
      <c r="F188" s="128" t="s">
        <v>271</v>
      </c>
      <c r="G188" s="129">
        <f t="shared" ref="G188:H191" si="32">1000000</f>
        <v>1000000</v>
      </c>
      <c r="H188" s="129">
        <f t="shared" si="32"/>
        <v>1000000</v>
      </c>
      <c r="I188" s="130">
        <f t="shared" si="29"/>
        <v>100</v>
      </c>
    </row>
    <row r="189" spans="1:9" s="99" customFormat="1" ht="24">
      <c r="A189" s="104" t="s">
        <v>94</v>
      </c>
      <c r="B189" s="127" t="s">
        <v>415</v>
      </c>
      <c r="C189" s="127" t="s">
        <v>15</v>
      </c>
      <c r="D189" s="127" t="s">
        <v>20</v>
      </c>
      <c r="E189" s="128" t="s">
        <v>230</v>
      </c>
      <c r="F189" s="128" t="s">
        <v>167</v>
      </c>
      <c r="G189" s="129">
        <f t="shared" si="32"/>
        <v>1000000</v>
      </c>
      <c r="H189" s="129">
        <f t="shared" si="32"/>
        <v>1000000</v>
      </c>
      <c r="I189" s="130">
        <f t="shared" si="29"/>
        <v>100</v>
      </c>
    </row>
    <row r="190" spans="1:9" s="99" customFormat="1" ht="36">
      <c r="A190" s="104" t="s">
        <v>137</v>
      </c>
      <c r="B190" s="127" t="s">
        <v>415</v>
      </c>
      <c r="C190" s="127" t="s">
        <v>15</v>
      </c>
      <c r="D190" s="127" t="s">
        <v>20</v>
      </c>
      <c r="E190" s="128" t="s">
        <v>230</v>
      </c>
      <c r="F190" s="128" t="s">
        <v>168</v>
      </c>
      <c r="G190" s="129">
        <f t="shared" si="32"/>
        <v>1000000</v>
      </c>
      <c r="H190" s="129">
        <f t="shared" si="32"/>
        <v>1000000</v>
      </c>
      <c r="I190" s="130">
        <f t="shared" si="29"/>
        <v>100</v>
      </c>
    </row>
    <row r="191" spans="1:9" s="99" customFormat="1" ht="12">
      <c r="A191" s="104" t="s">
        <v>138</v>
      </c>
      <c r="B191" s="127" t="s">
        <v>415</v>
      </c>
      <c r="C191" s="127" t="s">
        <v>15</v>
      </c>
      <c r="D191" s="127" t="s">
        <v>20</v>
      </c>
      <c r="E191" s="128" t="s">
        <v>230</v>
      </c>
      <c r="F191" s="128" t="s">
        <v>169</v>
      </c>
      <c r="G191" s="129">
        <f t="shared" si="32"/>
        <v>1000000</v>
      </c>
      <c r="H191" s="129">
        <f t="shared" si="32"/>
        <v>1000000</v>
      </c>
      <c r="I191" s="130">
        <f t="shared" si="29"/>
        <v>100</v>
      </c>
    </row>
    <row r="192" spans="1:9" s="99" customFormat="1" ht="24">
      <c r="A192" s="104" t="s">
        <v>231</v>
      </c>
      <c r="B192" s="127" t="s">
        <v>415</v>
      </c>
      <c r="C192" s="127" t="s">
        <v>15</v>
      </c>
      <c r="D192" s="127" t="s">
        <v>20</v>
      </c>
      <c r="E192" s="128" t="s">
        <v>232</v>
      </c>
      <c r="F192" s="128" t="s">
        <v>271</v>
      </c>
      <c r="G192" s="129">
        <f>2905453.27</f>
        <v>2905453.27</v>
      </c>
      <c r="H192" s="130">
        <v>2715887.43</v>
      </c>
      <c r="I192" s="130">
        <f t="shared" si="29"/>
        <v>93.475515784151639</v>
      </c>
    </row>
    <row r="193" spans="1:9" s="99" customFormat="1" ht="12">
      <c r="A193" s="104" t="s">
        <v>233</v>
      </c>
      <c r="B193" s="127" t="s">
        <v>415</v>
      </c>
      <c r="C193" s="127" t="s">
        <v>15</v>
      </c>
      <c r="D193" s="127" t="s">
        <v>20</v>
      </c>
      <c r="E193" s="128" t="s">
        <v>104</v>
      </c>
      <c r="F193" s="128" t="s">
        <v>271</v>
      </c>
      <c r="G193" s="129">
        <f>2905453.27</f>
        <v>2905453.27</v>
      </c>
      <c r="H193" s="130">
        <v>2715887.43</v>
      </c>
      <c r="I193" s="130">
        <f t="shared" si="29"/>
        <v>93.475515784151639</v>
      </c>
    </row>
    <row r="194" spans="1:9" s="99" customFormat="1" ht="24">
      <c r="A194" s="104" t="s">
        <v>94</v>
      </c>
      <c r="B194" s="127" t="s">
        <v>415</v>
      </c>
      <c r="C194" s="127" t="s">
        <v>15</v>
      </c>
      <c r="D194" s="127" t="s">
        <v>20</v>
      </c>
      <c r="E194" s="128" t="s">
        <v>104</v>
      </c>
      <c r="F194" s="128" t="s">
        <v>167</v>
      </c>
      <c r="G194" s="129">
        <f>2905453.27</f>
        <v>2905453.27</v>
      </c>
      <c r="H194" s="130">
        <v>2715887.43</v>
      </c>
      <c r="I194" s="130">
        <f t="shared" si="29"/>
        <v>93.475515784151639</v>
      </c>
    </row>
    <row r="195" spans="1:9" s="99" customFormat="1" ht="36">
      <c r="A195" s="104" t="s">
        <v>137</v>
      </c>
      <c r="B195" s="127" t="s">
        <v>415</v>
      </c>
      <c r="C195" s="127" t="s">
        <v>15</v>
      </c>
      <c r="D195" s="127" t="s">
        <v>20</v>
      </c>
      <c r="E195" s="128" t="s">
        <v>104</v>
      </c>
      <c r="F195" s="128" t="s">
        <v>168</v>
      </c>
      <c r="G195" s="129">
        <f>2905453.27</f>
        <v>2905453.27</v>
      </c>
      <c r="H195" s="130">
        <v>2715887.43</v>
      </c>
      <c r="I195" s="130">
        <f t="shared" si="29"/>
        <v>93.475515784151639</v>
      </c>
    </row>
    <row r="196" spans="1:9" s="99" customFormat="1" ht="12">
      <c r="A196" s="104" t="s">
        <v>138</v>
      </c>
      <c r="B196" s="127" t="s">
        <v>415</v>
      </c>
      <c r="C196" s="127" t="s">
        <v>15</v>
      </c>
      <c r="D196" s="127" t="s">
        <v>20</v>
      </c>
      <c r="E196" s="128" t="s">
        <v>104</v>
      </c>
      <c r="F196" s="128" t="s">
        <v>169</v>
      </c>
      <c r="G196" s="129">
        <f>774039.29</f>
        <v>774039.29</v>
      </c>
      <c r="H196" s="130">
        <v>722575.31</v>
      </c>
      <c r="I196" s="130">
        <f t="shared" si="29"/>
        <v>93.351244482692863</v>
      </c>
    </row>
    <row r="197" spans="1:9" s="99" customFormat="1" ht="12">
      <c r="A197" s="104" t="s">
        <v>379</v>
      </c>
      <c r="B197" s="127" t="s">
        <v>415</v>
      </c>
      <c r="C197" s="127" t="s">
        <v>15</v>
      </c>
      <c r="D197" s="127" t="s">
        <v>20</v>
      </c>
      <c r="E197" s="128" t="s">
        <v>104</v>
      </c>
      <c r="F197" s="128" t="s">
        <v>380</v>
      </c>
      <c r="G197" s="129">
        <f>2131413.98</f>
        <v>2131413.98</v>
      </c>
      <c r="H197" s="130">
        <v>1993312.12</v>
      </c>
      <c r="I197" s="130">
        <f t="shared" si="29"/>
        <v>93.520645857826281</v>
      </c>
    </row>
    <row r="198" spans="1:9" s="102" customFormat="1" ht="12">
      <c r="A198" s="105" t="s">
        <v>40</v>
      </c>
      <c r="B198" s="123" t="s">
        <v>415</v>
      </c>
      <c r="C198" s="127" t="s">
        <v>15</v>
      </c>
      <c r="D198" s="123" t="s">
        <v>18</v>
      </c>
      <c r="E198" s="124" t="s">
        <v>271</v>
      </c>
      <c r="F198" s="124" t="s">
        <v>271</v>
      </c>
      <c r="G198" s="125">
        <f t="shared" ref="G198:H204" si="33">248810</f>
        <v>248810</v>
      </c>
      <c r="H198" s="125">
        <f t="shared" si="33"/>
        <v>248810</v>
      </c>
      <c r="I198" s="126">
        <f t="shared" si="29"/>
        <v>100</v>
      </c>
    </row>
    <row r="199" spans="1:9" s="99" customFormat="1" ht="48">
      <c r="A199" s="104" t="s">
        <v>148</v>
      </c>
      <c r="B199" s="127" t="s">
        <v>415</v>
      </c>
      <c r="C199" s="127" t="s">
        <v>15</v>
      </c>
      <c r="D199" s="127" t="s">
        <v>18</v>
      </c>
      <c r="E199" s="128" t="s">
        <v>105</v>
      </c>
      <c r="F199" s="128" t="s">
        <v>271</v>
      </c>
      <c r="G199" s="129">
        <f t="shared" si="33"/>
        <v>248810</v>
      </c>
      <c r="H199" s="129">
        <f t="shared" si="33"/>
        <v>248810</v>
      </c>
      <c r="I199" s="130">
        <f t="shared" si="29"/>
        <v>100</v>
      </c>
    </row>
    <row r="200" spans="1:9" s="99" customFormat="1" ht="36">
      <c r="A200" s="104" t="s">
        <v>234</v>
      </c>
      <c r="B200" s="127" t="s">
        <v>415</v>
      </c>
      <c r="C200" s="127" t="s">
        <v>15</v>
      </c>
      <c r="D200" s="127" t="s">
        <v>18</v>
      </c>
      <c r="E200" s="128" t="s">
        <v>235</v>
      </c>
      <c r="F200" s="128" t="s">
        <v>271</v>
      </c>
      <c r="G200" s="129">
        <f t="shared" si="33"/>
        <v>248810</v>
      </c>
      <c r="H200" s="129">
        <f t="shared" si="33"/>
        <v>248810</v>
      </c>
      <c r="I200" s="130">
        <f t="shared" si="29"/>
        <v>100</v>
      </c>
    </row>
    <row r="201" spans="1:9" s="99" customFormat="1" ht="24">
      <c r="A201" s="104" t="s">
        <v>165</v>
      </c>
      <c r="B201" s="127" t="s">
        <v>415</v>
      </c>
      <c r="C201" s="127" t="s">
        <v>15</v>
      </c>
      <c r="D201" s="127" t="s">
        <v>18</v>
      </c>
      <c r="E201" s="128" t="s">
        <v>236</v>
      </c>
      <c r="F201" s="128" t="s">
        <v>271</v>
      </c>
      <c r="G201" s="129">
        <f t="shared" si="33"/>
        <v>248810</v>
      </c>
      <c r="H201" s="129">
        <f t="shared" si="33"/>
        <v>248810</v>
      </c>
      <c r="I201" s="130">
        <f t="shared" si="29"/>
        <v>100</v>
      </c>
    </row>
    <row r="202" spans="1:9" s="99" customFormat="1" ht="24">
      <c r="A202" s="104" t="s">
        <v>94</v>
      </c>
      <c r="B202" s="127" t="s">
        <v>415</v>
      </c>
      <c r="C202" s="127" t="s">
        <v>15</v>
      </c>
      <c r="D202" s="127" t="s">
        <v>18</v>
      </c>
      <c r="E202" s="128" t="s">
        <v>236</v>
      </c>
      <c r="F202" s="128" t="s">
        <v>167</v>
      </c>
      <c r="G202" s="129">
        <f t="shared" si="33"/>
        <v>248810</v>
      </c>
      <c r="H202" s="129">
        <f t="shared" si="33"/>
        <v>248810</v>
      </c>
      <c r="I202" s="130">
        <f t="shared" si="29"/>
        <v>100</v>
      </c>
    </row>
    <row r="203" spans="1:9" s="99" customFormat="1" ht="36">
      <c r="A203" s="104" t="s">
        <v>137</v>
      </c>
      <c r="B203" s="127" t="s">
        <v>415</v>
      </c>
      <c r="C203" s="127" t="s">
        <v>15</v>
      </c>
      <c r="D203" s="127" t="s">
        <v>18</v>
      </c>
      <c r="E203" s="128" t="s">
        <v>236</v>
      </c>
      <c r="F203" s="128" t="s">
        <v>168</v>
      </c>
      <c r="G203" s="129">
        <f t="shared" si="33"/>
        <v>248810</v>
      </c>
      <c r="H203" s="129">
        <f t="shared" si="33"/>
        <v>248810</v>
      </c>
      <c r="I203" s="130">
        <f t="shared" ref="I203:I238" si="34">H203/G203*100</f>
        <v>100</v>
      </c>
    </row>
    <row r="204" spans="1:9" s="99" customFormat="1" ht="24">
      <c r="A204" s="104" t="s">
        <v>197</v>
      </c>
      <c r="B204" s="127" t="s">
        <v>415</v>
      </c>
      <c r="C204" s="127" t="s">
        <v>15</v>
      </c>
      <c r="D204" s="127" t="s">
        <v>18</v>
      </c>
      <c r="E204" s="128" t="s">
        <v>236</v>
      </c>
      <c r="F204" s="128" t="s">
        <v>198</v>
      </c>
      <c r="G204" s="129">
        <f t="shared" si="33"/>
        <v>248810</v>
      </c>
      <c r="H204" s="129">
        <f t="shared" si="33"/>
        <v>248810</v>
      </c>
      <c r="I204" s="130">
        <f t="shared" si="34"/>
        <v>100</v>
      </c>
    </row>
    <row r="205" spans="1:9" s="102" customFormat="1" ht="12">
      <c r="A205" s="105" t="s">
        <v>237</v>
      </c>
      <c r="B205" s="123" t="s">
        <v>415</v>
      </c>
      <c r="C205" s="123" t="s">
        <v>16</v>
      </c>
      <c r="D205" s="123" t="s">
        <v>129</v>
      </c>
      <c r="E205" s="124" t="s">
        <v>271</v>
      </c>
      <c r="F205" s="124" t="s">
        <v>271</v>
      </c>
      <c r="G205" s="125">
        <f>2935599.27</f>
        <v>2935599.27</v>
      </c>
      <c r="H205" s="126">
        <v>2935599.27</v>
      </c>
      <c r="I205" s="126">
        <f t="shared" si="34"/>
        <v>100</v>
      </c>
    </row>
    <row r="206" spans="1:9" s="99" customFormat="1" ht="12">
      <c r="A206" s="104" t="s">
        <v>5</v>
      </c>
      <c r="B206" s="127" t="s">
        <v>415</v>
      </c>
      <c r="C206" s="127" t="s">
        <v>16</v>
      </c>
      <c r="D206" s="127" t="s">
        <v>12</v>
      </c>
      <c r="E206" s="128" t="s">
        <v>271</v>
      </c>
      <c r="F206" s="128" t="s">
        <v>271</v>
      </c>
      <c r="G206" s="129">
        <f t="shared" ref="G206:H212" si="35">131560</f>
        <v>131560</v>
      </c>
      <c r="H206" s="129">
        <f t="shared" si="35"/>
        <v>131560</v>
      </c>
      <c r="I206" s="130">
        <f t="shared" si="34"/>
        <v>100</v>
      </c>
    </row>
    <row r="207" spans="1:9" s="99" customFormat="1" ht="36">
      <c r="A207" s="104" t="s">
        <v>238</v>
      </c>
      <c r="B207" s="127" t="s">
        <v>415</v>
      </c>
      <c r="C207" s="127" t="s">
        <v>16</v>
      </c>
      <c r="D207" s="127" t="s">
        <v>12</v>
      </c>
      <c r="E207" s="128" t="s">
        <v>140</v>
      </c>
      <c r="F207" s="128" t="s">
        <v>271</v>
      </c>
      <c r="G207" s="129">
        <f t="shared" si="35"/>
        <v>131560</v>
      </c>
      <c r="H207" s="129">
        <f t="shared" si="35"/>
        <v>131560</v>
      </c>
      <c r="I207" s="130">
        <f t="shared" si="34"/>
        <v>100</v>
      </c>
    </row>
    <row r="208" spans="1:9" s="99" customFormat="1" ht="24">
      <c r="A208" s="104" t="s">
        <v>400</v>
      </c>
      <c r="B208" s="127" t="s">
        <v>415</v>
      </c>
      <c r="C208" s="127" t="s">
        <v>16</v>
      </c>
      <c r="D208" s="127" t="s">
        <v>12</v>
      </c>
      <c r="E208" s="128" t="s">
        <v>127</v>
      </c>
      <c r="F208" s="128" t="s">
        <v>271</v>
      </c>
      <c r="G208" s="129">
        <f t="shared" si="35"/>
        <v>131560</v>
      </c>
      <c r="H208" s="129">
        <f t="shared" si="35"/>
        <v>131560</v>
      </c>
      <c r="I208" s="130">
        <f t="shared" si="34"/>
        <v>100</v>
      </c>
    </row>
    <row r="209" spans="1:9" s="99" customFormat="1" ht="24">
      <c r="A209" s="104" t="s">
        <v>165</v>
      </c>
      <c r="B209" s="127" t="s">
        <v>415</v>
      </c>
      <c r="C209" s="127" t="s">
        <v>16</v>
      </c>
      <c r="D209" s="127" t="s">
        <v>12</v>
      </c>
      <c r="E209" s="128" t="s">
        <v>401</v>
      </c>
      <c r="F209" s="128" t="s">
        <v>271</v>
      </c>
      <c r="G209" s="129">
        <f t="shared" si="35"/>
        <v>131560</v>
      </c>
      <c r="H209" s="129">
        <f t="shared" si="35"/>
        <v>131560</v>
      </c>
      <c r="I209" s="130">
        <f t="shared" si="34"/>
        <v>100</v>
      </c>
    </row>
    <row r="210" spans="1:9" s="99" customFormat="1" ht="24">
      <c r="A210" s="104" t="s">
        <v>94</v>
      </c>
      <c r="B210" s="127" t="s">
        <v>415</v>
      </c>
      <c r="C210" s="127" t="s">
        <v>16</v>
      </c>
      <c r="D210" s="127" t="s">
        <v>12</v>
      </c>
      <c r="E210" s="128" t="s">
        <v>401</v>
      </c>
      <c r="F210" s="128" t="s">
        <v>167</v>
      </c>
      <c r="G210" s="129">
        <f t="shared" si="35"/>
        <v>131560</v>
      </c>
      <c r="H210" s="129">
        <f t="shared" si="35"/>
        <v>131560</v>
      </c>
      <c r="I210" s="130">
        <f t="shared" si="34"/>
        <v>100</v>
      </c>
    </row>
    <row r="211" spans="1:9" s="99" customFormat="1" ht="36">
      <c r="A211" s="104" t="s">
        <v>137</v>
      </c>
      <c r="B211" s="127" t="s">
        <v>415</v>
      </c>
      <c r="C211" s="127" t="s">
        <v>16</v>
      </c>
      <c r="D211" s="127" t="s">
        <v>12</v>
      </c>
      <c r="E211" s="128" t="s">
        <v>401</v>
      </c>
      <c r="F211" s="128" t="s">
        <v>168</v>
      </c>
      <c r="G211" s="129">
        <f t="shared" si="35"/>
        <v>131560</v>
      </c>
      <c r="H211" s="129">
        <f t="shared" si="35"/>
        <v>131560</v>
      </c>
      <c r="I211" s="130">
        <f t="shared" si="34"/>
        <v>100</v>
      </c>
    </row>
    <row r="212" spans="1:9" s="99" customFormat="1" ht="12">
      <c r="A212" s="104" t="s">
        <v>138</v>
      </c>
      <c r="B212" s="127" t="s">
        <v>415</v>
      </c>
      <c r="C212" s="127" t="s">
        <v>16</v>
      </c>
      <c r="D212" s="127" t="s">
        <v>12</v>
      </c>
      <c r="E212" s="128" t="s">
        <v>401</v>
      </c>
      <c r="F212" s="128" t="s">
        <v>169</v>
      </c>
      <c r="G212" s="129">
        <f t="shared" si="35"/>
        <v>131560</v>
      </c>
      <c r="H212" s="129">
        <f t="shared" si="35"/>
        <v>131560</v>
      </c>
      <c r="I212" s="130">
        <f t="shared" si="34"/>
        <v>100</v>
      </c>
    </row>
    <row r="213" spans="1:9" s="102" customFormat="1" ht="12">
      <c r="A213" s="105" t="s">
        <v>7</v>
      </c>
      <c r="B213" s="123" t="s">
        <v>415</v>
      </c>
      <c r="C213" s="127" t="s">
        <v>16</v>
      </c>
      <c r="D213" s="123" t="s">
        <v>13</v>
      </c>
      <c r="E213" s="124" t="s">
        <v>271</v>
      </c>
      <c r="F213" s="124" t="s">
        <v>271</v>
      </c>
      <c r="G213" s="125">
        <f>2417396.27</f>
        <v>2417396.27</v>
      </c>
      <c r="H213" s="125">
        <f>2417396.27</f>
        <v>2417396.27</v>
      </c>
      <c r="I213" s="126">
        <f t="shared" si="34"/>
        <v>100</v>
      </c>
    </row>
    <row r="214" spans="1:9" s="99" customFormat="1" ht="48">
      <c r="A214" s="104" t="s">
        <v>397</v>
      </c>
      <c r="B214" s="127" t="s">
        <v>415</v>
      </c>
      <c r="C214" s="127" t="s">
        <v>16</v>
      </c>
      <c r="D214" s="127" t="s">
        <v>13</v>
      </c>
      <c r="E214" s="128" t="s">
        <v>130</v>
      </c>
      <c r="F214" s="128" t="s">
        <v>271</v>
      </c>
      <c r="G214" s="129">
        <f>2417396.27</f>
        <v>2417396.27</v>
      </c>
      <c r="H214" s="129">
        <f>2417396.27</f>
        <v>2417396.27</v>
      </c>
      <c r="I214" s="130">
        <f t="shared" si="34"/>
        <v>100</v>
      </c>
    </row>
    <row r="215" spans="1:9" s="99" customFormat="1" ht="12">
      <c r="A215" s="104" t="s">
        <v>239</v>
      </c>
      <c r="B215" s="127" t="s">
        <v>415</v>
      </c>
      <c r="C215" s="127" t="s">
        <v>16</v>
      </c>
      <c r="D215" s="123" t="s">
        <v>13</v>
      </c>
      <c r="E215" s="128" t="s">
        <v>240</v>
      </c>
      <c r="F215" s="128" t="s">
        <v>271</v>
      </c>
      <c r="G215" s="129">
        <f t="shared" ref="G215:H219" si="36">815465.57</f>
        <v>815465.57</v>
      </c>
      <c r="H215" s="129">
        <f t="shared" si="36"/>
        <v>815465.57</v>
      </c>
      <c r="I215" s="130">
        <f t="shared" si="34"/>
        <v>100</v>
      </c>
    </row>
    <row r="216" spans="1:9" s="99" customFormat="1" ht="24">
      <c r="A216" s="104" t="s">
        <v>241</v>
      </c>
      <c r="B216" s="127" t="s">
        <v>415</v>
      </c>
      <c r="C216" s="127" t="s">
        <v>16</v>
      </c>
      <c r="D216" s="127" t="s">
        <v>13</v>
      </c>
      <c r="E216" s="128" t="s">
        <v>242</v>
      </c>
      <c r="F216" s="128" t="s">
        <v>271</v>
      </c>
      <c r="G216" s="129">
        <f t="shared" si="36"/>
        <v>815465.57</v>
      </c>
      <c r="H216" s="129">
        <f t="shared" si="36"/>
        <v>815465.57</v>
      </c>
      <c r="I216" s="130">
        <f t="shared" si="34"/>
        <v>100</v>
      </c>
    </row>
    <row r="217" spans="1:9" s="99" customFormat="1" ht="24">
      <c r="A217" s="104" t="s">
        <v>94</v>
      </c>
      <c r="B217" s="127" t="s">
        <v>415</v>
      </c>
      <c r="C217" s="127" t="s">
        <v>16</v>
      </c>
      <c r="D217" s="123" t="s">
        <v>13</v>
      </c>
      <c r="E217" s="128" t="s">
        <v>242</v>
      </c>
      <c r="F217" s="128" t="s">
        <v>167</v>
      </c>
      <c r="G217" s="129">
        <f t="shared" si="36"/>
        <v>815465.57</v>
      </c>
      <c r="H217" s="129">
        <f t="shared" si="36"/>
        <v>815465.57</v>
      </c>
      <c r="I217" s="130">
        <f t="shared" si="34"/>
        <v>100</v>
      </c>
    </row>
    <row r="218" spans="1:9" s="99" customFormat="1" ht="36">
      <c r="A218" s="104" t="s">
        <v>137</v>
      </c>
      <c r="B218" s="127" t="s">
        <v>415</v>
      </c>
      <c r="C218" s="127" t="s">
        <v>16</v>
      </c>
      <c r="D218" s="127" t="s">
        <v>13</v>
      </c>
      <c r="E218" s="128" t="s">
        <v>242</v>
      </c>
      <c r="F218" s="128" t="s">
        <v>168</v>
      </c>
      <c r="G218" s="129">
        <f t="shared" si="36"/>
        <v>815465.57</v>
      </c>
      <c r="H218" s="129">
        <f t="shared" si="36"/>
        <v>815465.57</v>
      </c>
      <c r="I218" s="130">
        <f t="shared" si="34"/>
        <v>100</v>
      </c>
    </row>
    <row r="219" spans="1:9" s="99" customFormat="1" ht="12">
      <c r="A219" s="104" t="s">
        <v>138</v>
      </c>
      <c r="B219" s="127" t="s">
        <v>415</v>
      </c>
      <c r="C219" s="127" t="s">
        <v>16</v>
      </c>
      <c r="D219" s="123" t="s">
        <v>13</v>
      </c>
      <c r="E219" s="128" t="s">
        <v>242</v>
      </c>
      <c r="F219" s="128" t="s">
        <v>169</v>
      </c>
      <c r="G219" s="129">
        <f t="shared" si="36"/>
        <v>815465.57</v>
      </c>
      <c r="H219" s="129">
        <f t="shared" si="36"/>
        <v>815465.57</v>
      </c>
      <c r="I219" s="130">
        <f t="shared" si="34"/>
        <v>100</v>
      </c>
    </row>
    <row r="220" spans="1:9" s="99" customFormat="1" ht="36">
      <c r="A220" s="104" t="s">
        <v>402</v>
      </c>
      <c r="B220" s="127" t="s">
        <v>415</v>
      </c>
      <c r="C220" s="127" t="s">
        <v>16</v>
      </c>
      <c r="D220" s="127" t="s">
        <v>13</v>
      </c>
      <c r="E220" s="128" t="s">
        <v>243</v>
      </c>
      <c r="F220" s="128" t="s">
        <v>271</v>
      </c>
      <c r="G220" s="129">
        <f t="shared" ref="G220:H224" si="37">1601930.7</f>
        <v>1601930.7</v>
      </c>
      <c r="H220" s="129">
        <f t="shared" si="37"/>
        <v>1601930.7</v>
      </c>
      <c r="I220" s="130">
        <f t="shared" si="34"/>
        <v>100</v>
      </c>
    </row>
    <row r="221" spans="1:9" s="99" customFormat="1" ht="48">
      <c r="A221" s="104" t="s">
        <v>244</v>
      </c>
      <c r="B221" s="127" t="s">
        <v>415</v>
      </c>
      <c r="C221" s="127" t="s">
        <v>16</v>
      </c>
      <c r="D221" s="123" t="s">
        <v>13</v>
      </c>
      <c r="E221" s="128" t="s">
        <v>245</v>
      </c>
      <c r="F221" s="128" t="s">
        <v>271</v>
      </c>
      <c r="G221" s="129">
        <f t="shared" si="37"/>
        <v>1601930.7</v>
      </c>
      <c r="H221" s="129">
        <f t="shared" si="37"/>
        <v>1601930.7</v>
      </c>
      <c r="I221" s="130">
        <f t="shared" si="34"/>
        <v>100</v>
      </c>
    </row>
    <row r="222" spans="1:9" s="99" customFormat="1" ht="12">
      <c r="A222" s="104" t="s">
        <v>64</v>
      </c>
      <c r="B222" s="127" t="s">
        <v>415</v>
      </c>
      <c r="C222" s="127" t="s">
        <v>16</v>
      </c>
      <c r="D222" s="127" t="s">
        <v>13</v>
      </c>
      <c r="E222" s="128" t="s">
        <v>245</v>
      </c>
      <c r="F222" s="128" t="s">
        <v>157</v>
      </c>
      <c r="G222" s="129">
        <f t="shared" si="37"/>
        <v>1601930.7</v>
      </c>
      <c r="H222" s="129">
        <f t="shared" si="37"/>
        <v>1601930.7</v>
      </c>
      <c r="I222" s="130">
        <f t="shared" si="34"/>
        <v>100</v>
      </c>
    </row>
    <row r="223" spans="1:9" s="99" customFormat="1" ht="12">
      <c r="A223" s="104" t="s">
        <v>25</v>
      </c>
      <c r="B223" s="127" t="s">
        <v>415</v>
      </c>
      <c r="C223" s="127" t="s">
        <v>16</v>
      </c>
      <c r="D223" s="123" t="s">
        <v>13</v>
      </c>
      <c r="E223" s="128" t="s">
        <v>245</v>
      </c>
      <c r="F223" s="128" t="s">
        <v>158</v>
      </c>
      <c r="G223" s="129">
        <f t="shared" si="37"/>
        <v>1601930.7</v>
      </c>
      <c r="H223" s="129">
        <f t="shared" si="37"/>
        <v>1601930.7</v>
      </c>
      <c r="I223" s="130">
        <f t="shared" si="34"/>
        <v>100</v>
      </c>
    </row>
    <row r="224" spans="1:9" s="99" customFormat="1" ht="12">
      <c r="A224" s="104" t="s">
        <v>25</v>
      </c>
      <c r="B224" s="127" t="s">
        <v>415</v>
      </c>
      <c r="C224" s="127" t="s">
        <v>16</v>
      </c>
      <c r="D224" s="127" t="s">
        <v>13</v>
      </c>
      <c r="E224" s="128" t="s">
        <v>245</v>
      </c>
      <c r="F224" s="128" t="s">
        <v>158</v>
      </c>
      <c r="G224" s="129">
        <f t="shared" si="37"/>
        <v>1601930.7</v>
      </c>
      <c r="H224" s="129">
        <f t="shared" si="37"/>
        <v>1601930.7</v>
      </c>
      <c r="I224" s="130">
        <f t="shared" si="34"/>
        <v>100</v>
      </c>
    </row>
    <row r="225" spans="1:9" s="102" customFormat="1" ht="24">
      <c r="A225" s="105" t="s">
        <v>36</v>
      </c>
      <c r="B225" s="123" t="s">
        <v>415</v>
      </c>
      <c r="C225" s="127" t="s">
        <v>16</v>
      </c>
      <c r="D225" s="123" t="s">
        <v>16</v>
      </c>
      <c r="E225" s="124" t="s">
        <v>271</v>
      </c>
      <c r="F225" s="124" t="s">
        <v>271</v>
      </c>
      <c r="G225" s="125">
        <f t="shared" ref="G225:H231" si="38">386643</f>
        <v>386643</v>
      </c>
      <c r="H225" s="125">
        <f t="shared" si="38"/>
        <v>386643</v>
      </c>
      <c r="I225" s="126">
        <f t="shared" si="34"/>
        <v>100</v>
      </c>
    </row>
    <row r="226" spans="1:9" s="99" customFormat="1" ht="48">
      <c r="A226" s="104" t="s">
        <v>148</v>
      </c>
      <c r="B226" s="127" t="s">
        <v>415</v>
      </c>
      <c r="C226" s="127" t="s">
        <v>16</v>
      </c>
      <c r="D226" s="127" t="s">
        <v>16</v>
      </c>
      <c r="E226" s="128" t="s">
        <v>105</v>
      </c>
      <c r="F226" s="128" t="s">
        <v>271</v>
      </c>
      <c r="G226" s="129">
        <f t="shared" si="38"/>
        <v>386643</v>
      </c>
      <c r="H226" s="129">
        <f t="shared" si="38"/>
        <v>386643</v>
      </c>
      <c r="I226" s="130">
        <f t="shared" si="34"/>
        <v>100</v>
      </c>
    </row>
    <row r="227" spans="1:9" s="99" customFormat="1" ht="72">
      <c r="A227" s="104" t="s">
        <v>246</v>
      </c>
      <c r="B227" s="127" t="s">
        <v>415</v>
      </c>
      <c r="C227" s="127" t="s">
        <v>16</v>
      </c>
      <c r="D227" s="123" t="s">
        <v>16</v>
      </c>
      <c r="E227" s="128" t="s">
        <v>128</v>
      </c>
      <c r="F227" s="128" t="s">
        <v>271</v>
      </c>
      <c r="G227" s="129">
        <f t="shared" si="38"/>
        <v>386643</v>
      </c>
      <c r="H227" s="129">
        <f t="shared" si="38"/>
        <v>386643</v>
      </c>
      <c r="I227" s="130">
        <f t="shared" si="34"/>
        <v>100</v>
      </c>
    </row>
    <row r="228" spans="1:9" s="99" customFormat="1" ht="24">
      <c r="A228" s="104" t="s">
        <v>126</v>
      </c>
      <c r="B228" s="127" t="s">
        <v>415</v>
      </c>
      <c r="C228" s="127" t="s">
        <v>16</v>
      </c>
      <c r="D228" s="127" t="s">
        <v>16</v>
      </c>
      <c r="E228" s="128" t="s">
        <v>247</v>
      </c>
      <c r="F228" s="128" t="s">
        <v>271</v>
      </c>
      <c r="G228" s="129">
        <f t="shared" si="38"/>
        <v>386643</v>
      </c>
      <c r="H228" s="129">
        <f t="shared" si="38"/>
        <v>386643</v>
      </c>
      <c r="I228" s="130">
        <f t="shared" si="34"/>
        <v>100</v>
      </c>
    </row>
    <row r="229" spans="1:9" s="99" customFormat="1" ht="12">
      <c r="A229" s="104" t="s">
        <v>64</v>
      </c>
      <c r="B229" s="127" t="s">
        <v>415</v>
      </c>
      <c r="C229" s="127" t="s">
        <v>16</v>
      </c>
      <c r="D229" s="123" t="s">
        <v>16</v>
      </c>
      <c r="E229" s="128" t="s">
        <v>247</v>
      </c>
      <c r="F229" s="128" t="s">
        <v>157</v>
      </c>
      <c r="G229" s="129">
        <f t="shared" si="38"/>
        <v>386643</v>
      </c>
      <c r="H229" s="129">
        <f t="shared" si="38"/>
        <v>386643</v>
      </c>
      <c r="I229" s="130">
        <f t="shared" si="34"/>
        <v>100</v>
      </c>
    </row>
    <row r="230" spans="1:9" s="99" customFormat="1" ht="12">
      <c r="A230" s="104" t="s">
        <v>25</v>
      </c>
      <c r="B230" s="127" t="s">
        <v>415</v>
      </c>
      <c r="C230" s="127" t="s">
        <v>16</v>
      </c>
      <c r="D230" s="127" t="s">
        <v>16</v>
      </c>
      <c r="E230" s="128" t="s">
        <v>247</v>
      </c>
      <c r="F230" s="128" t="s">
        <v>158</v>
      </c>
      <c r="G230" s="129">
        <f t="shared" si="38"/>
        <v>386643</v>
      </c>
      <c r="H230" s="129">
        <f t="shared" si="38"/>
        <v>386643</v>
      </c>
      <c r="I230" s="130">
        <f t="shared" si="34"/>
        <v>100</v>
      </c>
    </row>
    <row r="231" spans="1:9" s="99" customFormat="1" ht="12">
      <c r="A231" s="104" t="s">
        <v>25</v>
      </c>
      <c r="B231" s="127" t="s">
        <v>415</v>
      </c>
      <c r="C231" s="127" t="s">
        <v>16</v>
      </c>
      <c r="D231" s="123" t="s">
        <v>16</v>
      </c>
      <c r="E231" s="128" t="s">
        <v>247</v>
      </c>
      <c r="F231" s="128" t="s">
        <v>158</v>
      </c>
      <c r="G231" s="129">
        <f t="shared" si="38"/>
        <v>386643</v>
      </c>
      <c r="H231" s="129">
        <f t="shared" si="38"/>
        <v>386643</v>
      </c>
      <c r="I231" s="130">
        <f t="shared" si="34"/>
        <v>100</v>
      </c>
    </row>
    <row r="232" spans="1:9" s="102" customFormat="1" ht="12">
      <c r="A232" s="105" t="s">
        <v>248</v>
      </c>
      <c r="B232" s="123" t="s">
        <v>415</v>
      </c>
      <c r="C232" s="123" t="s">
        <v>19</v>
      </c>
      <c r="D232" s="123" t="s">
        <v>129</v>
      </c>
      <c r="E232" s="124" t="s">
        <v>271</v>
      </c>
      <c r="F232" s="124" t="s">
        <v>271</v>
      </c>
      <c r="G232" s="125">
        <f>243096.3</f>
        <v>243096.3</v>
      </c>
      <c r="H232" s="126">
        <v>243096.3</v>
      </c>
      <c r="I232" s="126">
        <f t="shared" si="34"/>
        <v>100</v>
      </c>
    </row>
    <row r="233" spans="1:9" s="99" customFormat="1" ht="12">
      <c r="A233" s="104" t="s">
        <v>249</v>
      </c>
      <c r="B233" s="127" t="s">
        <v>415</v>
      </c>
      <c r="C233" s="127" t="s">
        <v>19</v>
      </c>
      <c r="D233" s="127" t="s">
        <v>19</v>
      </c>
      <c r="E233" s="128" t="s">
        <v>271</v>
      </c>
      <c r="F233" s="128" t="s">
        <v>271</v>
      </c>
      <c r="G233" s="129">
        <f>243096.3</f>
        <v>243096.3</v>
      </c>
      <c r="H233" s="129">
        <f>243096.3</f>
        <v>243096.3</v>
      </c>
      <c r="I233" s="130">
        <f t="shared" si="34"/>
        <v>100</v>
      </c>
    </row>
    <row r="234" spans="1:9" s="99" customFormat="1" ht="48">
      <c r="A234" s="104" t="s">
        <v>393</v>
      </c>
      <c r="B234" s="127" t="s">
        <v>415</v>
      </c>
      <c r="C234" s="127" t="s">
        <v>19</v>
      </c>
      <c r="D234" s="127" t="s">
        <v>19</v>
      </c>
      <c r="E234" s="128" t="s">
        <v>131</v>
      </c>
      <c r="F234" s="128" t="s">
        <v>271</v>
      </c>
      <c r="G234" s="129">
        <f t="shared" ref="G234:H236" si="39">29292.96</f>
        <v>29292.959999999999</v>
      </c>
      <c r="H234" s="129">
        <f t="shared" si="39"/>
        <v>29292.959999999999</v>
      </c>
      <c r="I234" s="130">
        <f t="shared" si="34"/>
        <v>100</v>
      </c>
    </row>
    <row r="235" spans="1:9" s="99" customFormat="1" ht="48">
      <c r="A235" s="104" t="s">
        <v>250</v>
      </c>
      <c r="B235" s="127" t="s">
        <v>415</v>
      </c>
      <c r="C235" s="127" t="s">
        <v>19</v>
      </c>
      <c r="D235" s="127" t="s">
        <v>19</v>
      </c>
      <c r="E235" s="128" t="s">
        <v>251</v>
      </c>
      <c r="F235" s="128" t="s">
        <v>271</v>
      </c>
      <c r="G235" s="129">
        <f t="shared" si="39"/>
        <v>29292.959999999999</v>
      </c>
      <c r="H235" s="129">
        <f t="shared" si="39"/>
        <v>29292.959999999999</v>
      </c>
      <c r="I235" s="130">
        <f t="shared" si="34"/>
        <v>100</v>
      </c>
    </row>
    <row r="236" spans="1:9" s="99" customFormat="1" ht="24">
      <c r="A236" s="104" t="s">
        <v>403</v>
      </c>
      <c r="B236" s="127" t="s">
        <v>415</v>
      </c>
      <c r="C236" s="127" t="s">
        <v>19</v>
      </c>
      <c r="D236" s="127" t="s">
        <v>19</v>
      </c>
      <c r="E236" s="128" t="s">
        <v>404</v>
      </c>
      <c r="F236" s="128" t="s">
        <v>271</v>
      </c>
      <c r="G236" s="129">
        <f t="shared" si="39"/>
        <v>29292.959999999999</v>
      </c>
      <c r="H236" s="129">
        <f t="shared" si="39"/>
        <v>29292.959999999999</v>
      </c>
      <c r="I236" s="130">
        <f t="shared" si="34"/>
        <v>100</v>
      </c>
    </row>
    <row r="237" spans="1:9" s="99" customFormat="1" ht="60">
      <c r="A237" s="104" t="s">
        <v>139</v>
      </c>
      <c r="B237" s="127" t="s">
        <v>415</v>
      </c>
      <c r="C237" s="127" t="s">
        <v>19</v>
      </c>
      <c r="D237" s="127" t="s">
        <v>19</v>
      </c>
      <c r="E237" s="128" t="s">
        <v>404</v>
      </c>
      <c r="F237" s="128" t="s">
        <v>151</v>
      </c>
      <c r="G237" s="129">
        <f>14556.96</f>
        <v>14556.96</v>
      </c>
      <c r="H237" s="129">
        <f>14556.96</f>
        <v>14556.96</v>
      </c>
      <c r="I237" s="130">
        <f t="shared" si="34"/>
        <v>100</v>
      </c>
    </row>
    <row r="238" spans="1:9" s="99" customFormat="1" ht="24">
      <c r="A238" s="104" t="s">
        <v>183</v>
      </c>
      <c r="B238" s="127" t="s">
        <v>415</v>
      </c>
      <c r="C238" s="127" t="s">
        <v>19</v>
      </c>
      <c r="D238" s="127" t="s">
        <v>19</v>
      </c>
      <c r="E238" s="128" t="s">
        <v>404</v>
      </c>
      <c r="F238" s="128" t="s">
        <v>184</v>
      </c>
      <c r="G238" s="129">
        <f>14556.96</f>
        <v>14556.96</v>
      </c>
      <c r="H238" s="129">
        <f>14556.96</f>
        <v>14556.96</v>
      </c>
      <c r="I238" s="130">
        <f t="shared" si="34"/>
        <v>100</v>
      </c>
    </row>
    <row r="239" spans="1:9" s="99" customFormat="1" ht="12">
      <c r="A239" s="104" t="s">
        <v>135</v>
      </c>
      <c r="B239" s="127" t="s">
        <v>415</v>
      </c>
      <c r="C239" s="127" t="s">
        <v>19</v>
      </c>
      <c r="D239" s="127" t="s">
        <v>19</v>
      </c>
      <c r="E239" s="128" t="s">
        <v>404</v>
      </c>
      <c r="F239" s="128" t="s">
        <v>185</v>
      </c>
      <c r="G239" s="129">
        <f>11180.46</f>
        <v>11180.46</v>
      </c>
      <c r="H239" s="129">
        <f>11180.46</f>
        <v>11180.46</v>
      </c>
      <c r="I239" s="130">
        <f t="shared" ref="I239:I274" si="40">H239/G239*100</f>
        <v>100</v>
      </c>
    </row>
    <row r="240" spans="1:9" s="99" customFormat="1" ht="36">
      <c r="A240" s="104" t="s">
        <v>188</v>
      </c>
      <c r="B240" s="127" t="s">
        <v>415</v>
      </c>
      <c r="C240" s="127" t="s">
        <v>19</v>
      </c>
      <c r="D240" s="127" t="s">
        <v>19</v>
      </c>
      <c r="E240" s="128" t="s">
        <v>404</v>
      </c>
      <c r="F240" s="128" t="s">
        <v>189</v>
      </c>
      <c r="G240" s="129">
        <f>3376.5</f>
        <v>3376.5</v>
      </c>
      <c r="H240" s="129">
        <f>3376.5</f>
        <v>3376.5</v>
      </c>
      <c r="I240" s="130">
        <f t="shared" si="40"/>
        <v>100</v>
      </c>
    </row>
    <row r="241" spans="1:9" s="99" customFormat="1" ht="24">
      <c r="A241" s="104" t="s">
        <v>94</v>
      </c>
      <c r="B241" s="127" t="s">
        <v>415</v>
      </c>
      <c r="C241" s="127" t="s">
        <v>19</v>
      </c>
      <c r="D241" s="127" t="s">
        <v>19</v>
      </c>
      <c r="E241" s="128" t="s">
        <v>404</v>
      </c>
      <c r="F241" s="128" t="s">
        <v>167</v>
      </c>
      <c r="G241" s="129">
        <f t="shared" ref="G241:H243" si="41">14736</f>
        <v>14736</v>
      </c>
      <c r="H241" s="129">
        <f t="shared" si="41"/>
        <v>14736</v>
      </c>
      <c r="I241" s="130">
        <f t="shared" si="40"/>
        <v>100</v>
      </c>
    </row>
    <row r="242" spans="1:9" s="99" customFormat="1" ht="36">
      <c r="A242" s="104" t="s">
        <v>137</v>
      </c>
      <c r="B242" s="127" t="s">
        <v>415</v>
      </c>
      <c r="C242" s="127" t="s">
        <v>19</v>
      </c>
      <c r="D242" s="127" t="s">
        <v>19</v>
      </c>
      <c r="E242" s="128" t="s">
        <v>404</v>
      </c>
      <c r="F242" s="128" t="s">
        <v>168</v>
      </c>
      <c r="G242" s="129">
        <f t="shared" si="41"/>
        <v>14736</v>
      </c>
      <c r="H242" s="129">
        <f t="shared" si="41"/>
        <v>14736</v>
      </c>
      <c r="I242" s="130">
        <f t="shared" si="40"/>
        <v>100</v>
      </c>
    </row>
    <row r="243" spans="1:9" s="99" customFormat="1" ht="12">
      <c r="A243" s="104" t="s">
        <v>138</v>
      </c>
      <c r="B243" s="127" t="s">
        <v>415</v>
      </c>
      <c r="C243" s="127" t="s">
        <v>19</v>
      </c>
      <c r="D243" s="127" t="s">
        <v>19</v>
      </c>
      <c r="E243" s="128" t="s">
        <v>404</v>
      </c>
      <c r="F243" s="128" t="s">
        <v>169</v>
      </c>
      <c r="G243" s="129">
        <f t="shared" si="41"/>
        <v>14736</v>
      </c>
      <c r="H243" s="129">
        <f t="shared" si="41"/>
        <v>14736</v>
      </c>
      <c r="I243" s="130">
        <f t="shared" si="40"/>
        <v>100</v>
      </c>
    </row>
    <row r="244" spans="1:9" s="99" customFormat="1" ht="48">
      <c r="A244" s="104" t="s">
        <v>148</v>
      </c>
      <c r="B244" s="127" t="s">
        <v>415</v>
      </c>
      <c r="C244" s="127" t="s">
        <v>19</v>
      </c>
      <c r="D244" s="127" t="s">
        <v>19</v>
      </c>
      <c r="E244" s="128" t="s">
        <v>105</v>
      </c>
      <c r="F244" s="128" t="s">
        <v>271</v>
      </c>
      <c r="G244" s="129">
        <f t="shared" ref="G244:H249" si="42">213803.34</f>
        <v>213803.34</v>
      </c>
      <c r="H244" s="129">
        <f t="shared" si="42"/>
        <v>213803.34</v>
      </c>
      <c r="I244" s="130">
        <f t="shared" si="40"/>
        <v>100</v>
      </c>
    </row>
    <row r="245" spans="1:9" s="99" customFormat="1" ht="72">
      <c r="A245" s="104" t="s">
        <v>246</v>
      </c>
      <c r="B245" s="127" t="s">
        <v>415</v>
      </c>
      <c r="C245" s="127" t="s">
        <v>19</v>
      </c>
      <c r="D245" s="127" t="s">
        <v>19</v>
      </c>
      <c r="E245" s="128" t="s">
        <v>128</v>
      </c>
      <c r="F245" s="128" t="s">
        <v>271</v>
      </c>
      <c r="G245" s="129">
        <f t="shared" si="42"/>
        <v>213803.34</v>
      </c>
      <c r="H245" s="129">
        <f t="shared" si="42"/>
        <v>213803.34</v>
      </c>
      <c r="I245" s="130">
        <f t="shared" si="40"/>
        <v>100</v>
      </c>
    </row>
    <row r="246" spans="1:9" s="99" customFormat="1" ht="12">
      <c r="A246" s="104" t="s">
        <v>405</v>
      </c>
      <c r="B246" s="127" t="s">
        <v>415</v>
      </c>
      <c r="C246" s="127" t="s">
        <v>19</v>
      </c>
      <c r="D246" s="127" t="s">
        <v>19</v>
      </c>
      <c r="E246" s="128" t="s">
        <v>252</v>
      </c>
      <c r="F246" s="128" t="s">
        <v>271</v>
      </c>
      <c r="G246" s="129">
        <f t="shared" si="42"/>
        <v>213803.34</v>
      </c>
      <c r="H246" s="129">
        <f t="shared" si="42"/>
        <v>213803.34</v>
      </c>
      <c r="I246" s="130">
        <f t="shared" si="40"/>
        <v>100</v>
      </c>
    </row>
    <row r="247" spans="1:9" s="99" customFormat="1" ht="12">
      <c r="A247" s="104" t="s">
        <v>64</v>
      </c>
      <c r="B247" s="127" t="s">
        <v>415</v>
      </c>
      <c r="C247" s="127" t="s">
        <v>19</v>
      </c>
      <c r="D247" s="127" t="s">
        <v>19</v>
      </c>
      <c r="E247" s="128" t="s">
        <v>252</v>
      </c>
      <c r="F247" s="128" t="s">
        <v>157</v>
      </c>
      <c r="G247" s="129">
        <f t="shared" si="42"/>
        <v>213803.34</v>
      </c>
      <c r="H247" s="129">
        <f t="shared" si="42"/>
        <v>213803.34</v>
      </c>
      <c r="I247" s="130">
        <f t="shared" si="40"/>
        <v>100</v>
      </c>
    </row>
    <row r="248" spans="1:9" s="99" customFormat="1" ht="12">
      <c r="A248" s="104" t="s">
        <v>25</v>
      </c>
      <c r="B248" s="127" t="s">
        <v>415</v>
      </c>
      <c r="C248" s="127" t="s">
        <v>19</v>
      </c>
      <c r="D248" s="127" t="s">
        <v>19</v>
      </c>
      <c r="E248" s="128" t="s">
        <v>252</v>
      </c>
      <c r="F248" s="128" t="s">
        <v>158</v>
      </c>
      <c r="G248" s="129">
        <f t="shared" si="42"/>
        <v>213803.34</v>
      </c>
      <c r="H248" s="129">
        <f t="shared" si="42"/>
        <v>213803.34</v>
      </c>
      <c r="I248" s="130">
        <f t="shared" si="40"/>
        <v>100</v>
      </c>
    </row>
    <row r="249" spans="1:9" s="99" customFormat="1" ht="12">
      <c r="A249" s="104" t="s">
        <v>25</v>
      </c>
      <c r="B249" s="127" t="s">
        <v>415</v>
      </c>
      <c r="C249" s="127" t="s">
        <v>19</v>
      </c>
      <c r="D249" s="127" t="s">
        <v>19</v>
      </c>
      <c r="E249" s="128" t="s">
        <v>252</v>
      </c>
      <c r="F249" s="128" t="s">
        <v>158</v>
      </c>
      <c r="G249" s="129">
        <f t="shared" si="42"/>
        <v>213803.34</v>
      </c>
      <c r="H249" s="129">
        <f t="shared" si="42"/>
        <v>213803.34</v>
      </c>
      <c r="I249" s="130">
        <f t="shared" si="40"/>
        <v>100</v>
      </c>
    </row>
    <row r="250" spans="1:9" s="102" customFormat="1" ht="12">
      <c r="A250" s="105" t="s">
        <v>253</v>
      </c>
      <c r="B250" s="123" t="s">
        <v>415</v>
      </c>
      <c r="C250" s="123" t="s">
        <v>17</v>
      </c>
      <c r="D250" s="123" t="s">
        <v>129</v>
      </c>
      <c r="E250" s="124" t="s">
        <v>271</v>
      </c>
      <c r="F250" s="124" t="s">
        <v>271</v>
      </c>
      <c r="G250" s="125">
        <f t="shared" ref="G250:H252" si="43">12126341.47</f>
        <v>12126341.470000001</v>
      </c>
      <c r="H250" s="125">
        <f t="shared" si="43"/>
        <v>12126341.470000001</v>
      </c>
      <c r="I250" s="126">
        <f t="shared" si="40"/>
        <v>100</v>
      </c>
    </row>
    <row r="251" spans="1:9" s="99" customFormat="1" ht="12">
      <c r="A251" s="104" t="s">
        <v>9</v>
      </c>
      <c r="B251" s="127" t="s">
        <v>415</v>
      </c>
      <c r="C251" s="127" t="s">
        <v>17</v>
      </c>
      <c r="D251" s="127" t="s">
        <v>12</v>
      </c>
      <c r="E251" s="128" t="s">
        <v>271</v>
      </c>
      <c r="F251" s="128" t="s">
        <v>271</v>
      </c>
      <c r="G251" s="129">
        <f t="shared" si="43"/>
        <v>12126341.470000001</v>
      </c>
      <c r="H251" s="129">
        <f t="shared" si="43"/>
        <v>12126341.470000001</v>
      </c>
      <c r="I251" s="130">
        <f t="shared" si="40"/>
        <v>100</v>
      </c>
    </row>
    <row r="252" spans="1:9" s="99" customFormat="1" ht="48">
      <c r="A252" s="104" t="s">
        <v>393</v>
      </c>
      <c r="B252" s="127" t="s">
        <v>415</v>
      </c>
      <c r="C252" s="127" t="s">
        <v>17</v>
      </c>
      <c r="D252" s="127" t="s">
        <v>12</v>
      </c>
      <c r="E252" s="128" t="s">
        <v>131</v>
      </c>
      <c r="F252" s="128" t="s">
        <v>271</v>
      </c>
      <c r="G252" s="129">
        <f t="shared" si="43"/>
        <v>12126341.470000001</v>
      </c>
      <c r="H252" s="129">
        <f t="shared" si="43"/>
        <v>12126341.470000001</v>
      </c>
      <c r="I252" s="130">
        <f t="shared" si="40"/>
        <v>100</v>
      </c>
    </row>
    <row r="253" spans="1:9" s="99" customFormat="1" ht="24">
      <c r="A253" s="104" t="s">
        <v>254</v>
      </c>
      <c r="B253" s="127" t="s">
        <v>415</v>
      </c>
      <c r="C253" s="127" t="s">
        <v>17</v>
      </c>
      <c r="D253" s="127" t="s">
        <v>12</v>
      </c>
      <c r="E253" s="128" t="s">
        <v>255</v>
      </c>
      <c r="F253" s="128" t="s">
        <v>271</v>
      </c>
      <c r="G253" s="129">
        <f>12097841.47</f>
        <v>12097841.470000001</v>
      </c>
      <c r="H253" s="129">
        <f>12097841.47</f>
        <v>12097841.470000001</v>
      </c>
      <c r="I253" s="130">
        <f t="shared" si="40"/>
        <v>100</v>
      </c>
    </row>
    <row r="254" spans="1:9" s="99" customFormat="1" ht="24">
      <c r="A254" s="104" t="s">
        <v>381</v>
      </c>
      <c r="B254" s="127" t="s">
        <v>415</v>
      </c>
      <c r="C254" s="127" t="s">
        <v>17</v>
      </c>
      <c r="D254" s="127" t="s">
        <v>12</v>
      </c>
      <c r="E254" s="128" t="s">
        <v>256</v>
      </c>
      <c r="F254" s="128" t="s">
        <v>271</v>
      </c>
      <c r="G254" s="129">
        <f>10764314.67</f>
        <v>10764314.67</v>
      </c>
      <c r="H254" s="129">
        <f>10764314.67</f>
        <v>10764314.67</v>
      </c>
      <c r="I254" s="130">
        <f t="shared" si="40"/>
        <v>100</v>
      </c>
    </row>
    <row r="255" spans="1:9" s="99" customFormat="1" ht="60">
      <c r="A255" s="104" t="s">
        <v>139</v>
      </c>
      <c r="B255" s="127" t="s">
        <v>415</v>
      </c>
      <c r="C255" s="127" t="s">
        <v>17</v>
      </c>
      <c r="D255" s="127" t="s">
        <v>12</v>
      </c>
      <c r="E255" s="128" t="s">
        <v>256</v>
      </c>
      <c r="F255" s="128" t="s">
        <v>151</v>
      </c>
      <c r="G255" s="129">
        <f>10741314.67</f>
        <v>10741314.67</v>
      </c>
      <c r="H255" s="129">
        <f>10741314.67</f>
        <v>10741314.67</v>
      </c>
      <c r="I255" s="130">
        <f t="shared" si="40"/>
        <v>100</v>
      </c>
    </row>
    <row r="256" spans="1:9" s="99" customFormat="1" ht="24">
      <c r="A256" s="104" t="s">
        <v>183</v>
      </c>
      <c r="B256" s="127" t="s">
        <v>415</v>
      </c>
      <c r="C256" s="127" t="s">
        <v>17</v>
      </c>
      <c r="D256" s="127" t="s">
        <v>12</v>
      </c>
      <c r="E256" s="128" t="s">
        <v>256</v>
      </c>
      <c r="F256" s="128" t="s">
        <v>184</v>
      </c>
      <c r="G256" s="129">
        <f>10741314.67</f>
        <v>10741314.67</v>
      </c>
      <c r="H256" s="129">
        <f>10741314.67</f>
        <v>10741314.67</v>
      </c>
      <c r="I256" s="130">
        <f t="shared" si="40"/>
        <v>100</v>
      </c>
    </row>
    <row r="257" spans="1:9" s="99" customFormat="1" ht="12">
      <c r="A257" s="104" t="s">
        <v>135</v>
      </c>
      <c r="B257" s="127" t="s">
        <v>415</v>
      </c>
      <c r="C257" s="127" t="s">
        <v>17</v>
      </c>
      <c r="D257" s="127" t="s">
        <v>12</v>
      </c>
      <c r="E257" s="128" t="s">
        <v>256</v>
      </c>
      <c r="F257" s="128" t="s">
        <v>185</v>
      </c>
      <c r="G257" s="129">
        <f>8099597.79</f>
        <v>8099597.79</v>
      </c>
      <c r="H257" s="129">
        <f>8099597.79</f>
        <v>8099597.79</v>
      </c>
      <c r="I257" s="130">
        <f t="shared" si="40"/>
        <v>100</v>
      </c>
    </row>
    <row r="258" spans="1:9" s="99" customFormat="1" ht="24">
      <c r="A258" s="104" t="s">
        <v>187</v>
      </c>
      <c r="B258" s="127" t="s">
        <v>415</v>
      </c>
      <c r="C258" s="127" t="s">
        <v>17</v>
      </c>
      <c r="D258" s="127" t="s">
        <v>12</v>
      </c>
      <c r="E258" s="128" t="s">
        <v>256</v>
      </c>
      <c r="F258" s="128" t="s">
        <v>186</v>
      </c>
      <c r="G258" s="129">
        <f>249689.64</f>
        <v>249689.64</v>
      </c>
      <c r="H258" s="129">
        <f>249689.64</f>
        <v>249689.64</v>
      </c>
      <c r="I258" s="130">
        <f t="shared" si="40"/>
        <v>100</v>
      </c>
    </row>
    <row r="259" spans="1:9" s="99" customFormat="1" ht="36">
      <c r="A259" s="104" t="s">
        <v>188</v>
      </c>
      <c r="B259" s="127" t="s">
        <v>415</v>
      </c>
      <c r="C259" s="127" t="s">
        <v>17</v>
      </c>
      <c r="D259" s="127" t="s">
        <v>12</v>
      </c>
      <c r="E259" s="128" t="s">
        <v>256</v>
      </c>
      <c r="F259" s="128" t="s">
        <v>189</v>
      </c>
      <c r="G259" s="129">
        <f>2392027.24</f>
        <v>2392027.2400000002</v>
      </c>
      <c r="H259" s="129">
        <f>2392027.24</f>
        <v>2392027.2400000002</v>
      </c>
      <c r="I259" s="130">
        <f t="shared" si="40"/>
        <v>100</v>
      </c>
    </row>
    <row r="260" spans="1:9" s="99" customFormat="1" ht="24">
      <c r="A260" s="104" t="s">
        <v>94</v>
      </c>
      <c r="B260" s="127" t="s">
        <v>415</v>
      </c>
      <c r="C260" s="127" t="s">
        <v>17</v>
      </c>
      <c r="D260" s="127" t="s">
        <v>12</v>
      </c>
      <c r="E260" s="128" t="s">
        <v>256</v>
      </c>
      <c r="F260" s="128" t="s">
        <v>167</v>
      </c>
      <c r="G260" s="129">
        <f t="shared" ref="G260:H262" si="44">20000</f>
        <v>20000</v>
      </c>
      <c r="H260" s="129">
        <f t="shared" si="44"/>
        <v>20000</v>
      </c>
      <c r="I260" s="130">
        <f t="shared" si="40"/>
        <v>100</v>
      </c>
    </row>
    <row r="261" spans="1:9" s="99" customFormat="1" ht="36">
      <c r="A261" s="104" t="s">
        <v>137</v>
      </c>
      <c r="B261" s="127" t="s">
        <v>415</v>
      </c>
      <c r="C261" s="127" t="s">
        <v>17</v>
      </c>
      <c r="D261" s="127" t="s">
        <v>12</v>
      </c>
      <c r="E261" s="128" t="s">
        <v>256</v>
      </c>
      <c r="F261" s="128" t="s">
        <v>168</v>
      </c>
      <c r="G261" s="129">
        <f t="shared" si="44"/>
        <v>20000</v>
      </c>
      <c r="H261" s="129">
        <f t="shared" si="44"/>
        <v>20000</v>
      </c>
      <c r="I261" s="130">
        <f t="shared" si="40"/>
        <v>100</v>
      </c>
    </row>
    <row r="262" spans="1:9" s="99" customFormat="1" ht="12">
      <c r="A262" s="104" t="s">
        <v>138</v>
      </c>
      <c r="B262" s="127" t="s">
        <v>415</v>
      </c>
      <c r="C262" s="127" t="s">
        <v>17</v>
      </c>
      <c r="D262" s="127" t="s">
        <v>12</v>
      </c>
      <c r="E262" s="128" t="s">
        <v>256</v>
      </c>
      <c r="F262" s="128" t="s">
        <v>169</v>
      </c>
      <c r="G262" s="129">
        <f t="shared" si="44"/>
        <v>20000</v>
      </c>
      <c r="H262" s="129">
        <f t="shared" si="44"/>
        <v>20000</v>
      </c>
      <c r="I262" s="130">
        <f t="shared" si="40"/>
        <v>100</v>
      </c>
    </row>
    <row r="263" spans="1:9" s="99" customFormat="1" ht="12">
      <c r="A263" s="104" t="s">
        <v>66</v>
      </c>
      <c r="B263" s="127" t="s">
        <v>415</v>
      </c>
      <c r="C263" s="127" t="s">
        <v>17</v>
      </c>
      <c r="D263" s="127" t="s">
        <v>12</v>
      </c>
      <c r="E263" s="128" t="s">
        <v>256</v>
      </c>
      <c r="F263" s="128" t="s">
        <v>160</v>
      </c>
      <c r="G263" s="129">
        <f t="shared" ref="G263:H265" si="45">3000</f>
        <v>3000</v>
      </c>
      <c r="H263" s="129">
        <f t="shared" si="45"/>
        <v>3000</v>
      </c>
      <c r="I263" s="130">
        <f t="shared" si="40"/>
        <v>100</v>
      </c>
    </row>
    <row r="264" spans="1:9" s="99" customFormat="1" ht="12">
      <c r="A264" s="104" t="s">
        <v>97</v>
      </c>
      <c r="B264" s="127" t="s">
        <v>415</v>
      </c>
      <c r="C264" s="127" t="s">
        <v>17</v>
      </c>
      <c r="D264" s="127" t="s">
        <v>12</v>
      </c>
      <c r="E264" s="128" t="s">
        <v>256</v>
      </c>
      <c r="F264" s="128" t="s">
        <v>173</v>
      </c>
      <c r="G264" s="129">
        <f t="shared" si="45"/>
        <v>3000</v>
      </c>
      <c r="H264" s="129">
        <f t="shared" si="45"/>
        <v>3000</v>
      </c>
      <c r="I264" s="130">
        <f t="shared" si="40"/>
        <v>100</v>
      </c>
    </row>
    <row r="265" spans="1:9" s="99" customFormat="1" ht="12">
      <c r="A265" s="104" t="s">
        <v>176</v>
      </c>
      <c r="B265" s="127" t="s">
        <v>415</v>
      </c>
      <c r="C265" s="127" t="s">
        <v>17</v>
      </c>
      <c r="D265" s="127" t="s">
        <v>12</v>
      </c>
      <c r="E265" s="128" t="s">
        <v>256</v>
      </c>
      <c r="F265" s="128" t="s">
        <v>177</v>
      </c>
      <c r="G265" s="129">
        <f t="shared" si="45"/>
        <v>3000</v>
      </c>
      <c r="H265" s="129">
        <f t="shared" si="45"/>
        <v>3000</v>
      </c>
      <c r="I265" s="130">
        <f t="shared" si="40"/>
        <v>100</v>
      </c>
    </row>
    <row r="266" spans="1:9" s="99" customFormat="1" ht="36">
      <c r="A266" s="104" t="s">
        <v>406</v>
      </c>
      <c r="B266" s="127" t="s">
        <v>415</v>
      </c>
      <c r="C266" s="127" t="s">
        <v>17</v>
      </c>
      <c r="D266" s="127" t="s">
        <v>12</v>
      </c>
      <c r="E266" s="128" t="s">
        <v>258</v>
      </c>
      <c r="F266" s="128" t="s">
        <v>271</v>
      </c>
      <c r="G266" s="129">
        <f t="shared" ref="G266:H268" si="46">1333526.8</f>
        <v>1333526.8</v>
      </c>
      <c r="H266" s="129">
        <f t="shared" si="46"/>
        <v>1333526.8</v>
      </c>
      <c r="I266" s="130">
        <f t="shared" si="40"/>
        <v>100</v>
      </c>
    </row>
    <row r="267" spans="1:9" s="99" customFormat="1" ht="60">
      <c r="A267" s="104" t="s">
        <v>139</v>
      </c>
      <c r="B267" s="127" t="s">
        <v>415</v>
      </c>
      <c r="C267" s="127" t="s">
        <v>17</v>
      </c>
      <c r="D267" s="127" t="s">
        <v>12</v>
      </c>
      <c r="E267" s="128" t="s">
        <v>258</v>
      </c>
      <c r="F267" s="128" t="s">
        <v>151</v>
      </c>
      <c r="G267" s="129">
        <f t="shared" si="46"/>
        <v>1333526.8</v>
      </c>
      <c r="H267" s="129">
        <f t="shared" si="46"/>
        <v>1333526.8</v>
      </c>
      <c r="I267" s="130">
        <f t="shared" si="40"/>
        <v>100</v>
      </c>
    </row>
    <row r="268" spans="1:9" s="99" customFormat="1" ht="24">
      <c r="A268" s="104" t="s">
        <v>183</v>
      </c>
      <c r="B268" s="127" t="s">
        <v>415</v>
      </c>
      <c r="C268" s="127" t="s">
        <v>17</v>
      </c>
      <c r="D268" s="127" t="s">
        <v>12</v>
      </c>
      <c r="E268" s="128" t="s">
        <v>258</v>
      </c>
      <c r="F268" s="128" t="s">
        <v>184</v>
      </c>
      <c r="G268" s="129">
        <f t="shared" si="46"/>
        <v>1333526.8</v>
      </c>
      <c r="H268" s="129">
        <f t="shared" si="46"/>
        <v>1333526.8</v>
      </c>
      <c r="I268" s="130">
        <f t="shared" si="40"/>
        <v>100</v>
      </c>
    </row>
    <row r="269" spans="1:9" s="99" customFormat="1" ht="12">
      <c r="A269" s="104" t="s">
        <v>135</v>
      </c>
      <c r="B269" s="127" t="s">
        <v>415</v>
      </c>
      <c r="C269" s="127" t="s">
        <v>17</v>
      </c>
      <c r="D269" s="127" t="s">
        <v>12</v>
      </c>
      <c r="E269" s="128" t="s">
        <v>258</v>
      </c>
      <c r="F269" s="128" t="s">
        <v>185</v>
      </c>
      <c r="G269" s="129">
        <f>1024213.66</f>
        <v>1024213.66</v>
      </c>
      <c r="H269" s="129">
        <f>1024213.66</f>
        <v>1024213.66</v>
      </c>
      <c r="I269" s="130">
        <f t="shared" si="40"/>
        <v>100</v>
      </c>
    </row>
    <row r="270" spans="1:9" s="99" customFormat="1" ht="36">
      <c r="A270" s="104" t="s">
        <v>188</v>
      </c>
      <c r="B270" s="127" t="s">
        <v>415</v>
      </c>
      <c r="C270" s="127" t="s">
        <v>17</v>
      </c>
      <c r="D270" s="127" t="s">
        <v>12</v>
      </c>
      <c r="E270" s="128" t="s">
        <v>258</v>
      </c>
      <c r="F270" s="128" t="s">
        <v>189</v>
      </c>
      <c r="G270" s="129">
        <f>309313.14</f>
        <v>309313.14</v>
      </c>
      <c r="H270" s="129">
        <f>309313.14</f>
        <v>309313.14</v>
      </c>
      <c r="I270" s="130">
        <f t="shared" si="40"/>
        <v>100</v>
      </c>
    </row>
    <row r="271" spans="1:9" s="99" customFormat="1" ht="24">
      <c r="A271" s="104" t="s">
        <v>259</v>
      </c>
      <c r="B271" s="127" t="s">
        <v>415</v>
      </c>
      <c r="C271" s="127" t="s">
        <v>17</v>
      </c>
      <c r="D271" s="127" t="s">
        <v>12</v>
      </c>
      <c r="E271" s="128" t="s">
        <v>260</v>
      </c>
      <c r="F271" s="128" t="s">
        <v>271</v>
      </c>
      <c r="G271" s="129">
        <f t="shared" ref="G271:H275" si="47">22800</f>
        <v>22800</v>
      </c>
      <c r="H271" s="129">
        <f t="shared" si="47"/>
        <v>22800</v>
      </c>
      <c r="I271" s="130">
        <f t="shared" si="40"/>
        <v>100</v>
      </c>
    </row>
    <row r="272" spans="1:9" s="99" customFormat="1" ht="24">
      <c r="A272" s="104" t="s">
        <v>261</v>
      </c>
      <c r="B272" s="127" t="s">
        <v>415</v>
      </c>
      <c r="C272" s="127" t="s">
        <v>17</v>
      </c>
      <c r="D272" s="127" t="s">
        <v>12</v>
      </c>
      <c r="E272" s="128" t="s">
        <v>262</v>
      </c>
      <c r="F272" s="128" t="s">
        <v>271</v>
      </c>
      <c r="G272" s="129">
        <f t="shared" si="47"/>
        <v>22800</v>
      </c>
      <c r="H272" s="129">
        <f t="shared" si="47"/>
        <v>22800</v>
      </c>
      <c r="I272" s="130">
        <f t="shared" si="40"/>
        <v>100</v>
      </c>
    </row>
    <row r="273" spans="1:9" s="99" customFormat="1" ht="24">
      <c r="A273" s="104" t="s">
        <v>94</v>
      </c>
      <c r="B273" s="127" t="s">
        <v>415</v>
      </c>
      <c r="C273" s="127" t="s">
        <v>17</v>
      </c>
      <c r="D273" s="127" t="s">
        <v>12</v>
      </c>
      <c r="E273" s="128" t="s">
        <v>262</v>
      </c>
      <c r="F273" s="128" t="s">
        <v>167</v>
      </c>
      <c r="G273" s="129">
        <f t="shared" si="47"/>
        <v>22800</v>
      </c>
      <c r="H273" s="129">
        <f t="shared" si="47"/>
        <v>22800</v>
      </c>
      <c r="I273" s="130">
        <f t="shared" si="40"/>
        <v>100</v>
      </c>
    </row>
    <row r="274" spans="1:9" s="99" customFormat="1" ht="36">
      <c r="A274" s="104" t="s">
        <v>137</v>
      </c>
      <c r="B274" s="127" t="s">
        <v>415</v>
      </c>
      <c r="C274" s="127" t="s">
        <v>17</v>
      </c>
      <c r="D274" s="127" t="s">
        <v>12</v>
      </c>
      <c r="E274" s="128" t="s">
        <v>262</v>
      </c>
      <c r="F274" s="128" t="s">
        <v>168</v>
      </c>
      <c r="G274" s="129">
        <f t="shared" si="47"/>
        <v>22800</v>
      </c>
      <c r="H274" s="129">
        <f t="shared" si="47"/>
        <v>22800</v>
      </c>
      <c r="I274" s="130">
        <f t="shared" si="40"/>
        <v>100</v>
      </c>
    </row>
    <row r="275" spans="1:9" s="99" customFormat="1" ht="12">
      <c r="A275" s="104" t="s">
        <v>138</v>
      </c>
      <c r="B275" s="127" t="s">
        <v>415</v>
      </c>
      <c r="C275" s="127" t="s">
        <v>17</v>
      </c>
      <c r="D275" s="127" t="s">
        <v>12</v>
      </c>
      <c r="E275" s="128" t="s">
        <v>262</v>
      </c>
      <c r="F275" s="128" t="s">
        <v>169</v>
      </c>
      <c r="G275" s="129">
        <f t="shared" si="47"/>
        <v>22800</v>
      </c>
      <c r="H275" s="129">
        <f t="shared" si="47"/>
        <v>22800</v>
      </c>
      <c r="I275" s="130">
        <f t="shared" ref="I275:I288" si="48">H275/G275*100</f>
        <v>100</v>
      </c>
    </row>
    <row r="276" spans="1:9" s="99" customFormat="1" ht="24">
      <c r="A276" s="104" t="s">
        <v>407</v>
      </c>
      <c r="B276" s="127" t="s">
        <v>415</v>
      </c>
      <c r="C276" s="127" t="s">
        <v>17</v>
      </c>
      <c r="D276" s="127" t="s">
        <v>12</v>
      </c>
      <c r="E276" s="128" t="s">
        <v>408</v>
      </c>
      <c r="F276" s="128" t="s">
        <v>271</v>
      </c>
      <c r="G276" s="129">
        <f t="shared" ref="G276:H280" si="49">5700</f>
        <v>5700</v>
      </c>
      <c r="H276" s="129">
        <f t="shared" si="49"/>
        <v>5700</v>
      </c>
      <c r="I276" s="130">
        <f t="shared" si="48"/>
        <v>100</v>
      </c>
    </row>
    <row r="277" spans="1:9" s="99" customFormat="1" ht="24">
      <c r="A277" s="104" t="s">
        <v>409</v>
      </c>
      <c r="B277" s="127" t="s">
        <v>415</v>
      </c>
      <c r="C277" s="127" t="s">
        <v>17</v>
      </c>
      <c r="D277" s="127" t="s">
        <v>12</v>
      </c>
      <c r="E277" s="128" t="s">
        <v>410</v>
      </c>
      <c r="F277" s="128" t="s">
        <v>271</v>
      </c>
      <c r="G277" s="129">
        <f t="shared" si="49"/>
        <v>5700</v>
      </c>
      <c r="H277" s="129">
        <f t="shared" si="49"/>
        <v>5700</v>
      </c>
      <c r="I277" s="130">
        <f t="shared" si="48"/>
        <v>100</v>
      </c>
    </row>
    <row r="278" spans="1:9" s="99" customFormat="1" ht="24">
      <c r="A278" s="104" t="s">
        <v>94</v>
      </c>
      <c r="B278" s="127" t="s">
        <v>415</v>
      </c>
      <c r="C278" s="127" t="s">
        <v>17</v>
      </c>
      <c r="D278" s="127" t="s">
        <v>12</v>
      </c>
      <c r="E278" s="128" t="s">
        <v>410</v>
      </c>
      <c r="F278" s="128" t="s">
        <v>167</v>
      </c>
      <c r="G278" s="129">
        <f t="shared" si="49"/>
        <v>5700</v>
      </c>
      <c r="H278" s="129">
        <f t="shared" si="49"/>
        <v>5700</v>
      </c>
      <c r="I278" s="130">
        <f t="shared" si="48"/>
        <v>100</v>
      </c>
    </row>
    <row r="279" spans="1:9" s="99" customFormat="1" ht="36">
      <c r="A279" s="104" t="s">
        <v>137</v>
      </c>
      <c r="B279" s="127" t="s">
        <v>415</v>
      </c>
      <c r="C279" s="127" t="s">
        <v>17</v>
      </c>
      <c r="D279" s="127" t="s">
        <v>12</v>
      </c>
      <c r="E279" s="128" t="s">
        <v>410</v>
      </c>
      <c r="F279" s="128" t="s">
        <v>168</v>
      </c>
      <c r="G279" s="129">
        <f t="shared" si="49"/>
        <v>5700</v>
      </c>
      <c r="H279" s="129">
        <f t="shared" si="49"/>
        <v>5700</v>
      </c>
      <c r="I279" s="130">
        <f t="shared" si="48"/>
        <v>100</v>
      </c>
    </row>
    <row r="280" spans="1:9" s="99" customFormat="1" ht="12">
      <c r="A280" s="104" t="s">
        <v>138</v>
      </c>
      <c r="B280" s="127" t="s">
        <v>415</v>
      </c>
      <c r="C280" s="127" t="s">
        <v>17</v>
      </c>
      <c r="D280" s="127" t="s">
        <v>12</v>
      </c>
      <c r="E280" s="128" t="s">
        <v>410</v>
      </c>
      <c r="F280" s="128" t="s">
        <v>169</v>
      </c>
      <c r="G280" s="129">
        <f t="shared" si="49"/>
        <v>5700</v>
      </c>
      <c r="H280" s="129">
        <f t="shared" si="49"/>
        <v>5700</v>
      </c>
      <c r="I280" s="130">
        <f t="shared" si="48"/>
        <v>100</v>
      </c>
    </row>
    <row r="281" spans="1:9" s="102" customFormat="1" ht="12">
      <c r="A281" s="105" t="s">
        <v>263</v>
      </c>
      <c r="B281" s="123" t="s">
        <v>415</v>
      </c>
      <c r="C281" s="123" t="s">
        <v>18</v>
      </c>
      <c r="D281" s="127" t="s">
        <v>129</v>
      </c>
      <c r="E281" s="124" t="s">
        <v>271</v>
      </c>
      <c r="F281" s="124" t="s">
        <v>271</v>
      </c>
      <c r="G281" s="125">
        <f t="shared" ref="G281:H288" si="50">435000</f>
        <v>435000</v>
      </c>
      <c r="H281" s="125">
        <f t="shared" si="50"/>
        <v>435000</v>
      </c>
      <c r="I281" s="126">
        <f t="shared" si="48"/>
        <v>100</v>
      </c>
    </row>
    <row r="282" spans="1:9" s="99" customFormat="1" ht="12">
      <c r="A282" s="104" t="s">
        <v>67</v>
      </c>
      <c r="B282" s="127" t="s">
        <v>415</v>
      </c>
      <c r="C282" s="127" t="s">
        <v>18</v>
      </c>
      <c r="D282" s="127" t="s">
        <v>12</v>
      </c>
      <c r="E282" s="128" t="s">
        <v>271</v>
      </c>
      <c r="F282" s="128" t="s">
        <v>271</v>
      </c>
      <c r="G282" s="129">
        <f t="shared" si="50"/>
        <v>435000</v>
      </c>
      <c r="H282" s="129">
        <f t="shared" si="50"/>
        <v>435000</v>
      </c>
      <c r="I282" s="130">
        <f t="shared" si="48"/>
        <v>100</v>
      </c>
    </row>
    <row r="283" spans="1:9" s="99" customFormat="1" ht="48">
      <c r="A283" s="104" t="s">
        <v>148</v>
      </c>
      <c r="B283" s="127" t="s">
        <v>415</v>
      </c>
      <c r="C283" s="127" t="s">
        <v>18</v>
      </c>
      <c r="D283" s="127" t="s">
        <v>12</v>
      </c>
      <c r="E283" s="128" t="s">
        <v>105</v>
      </c>
      <c r="F283" s="128" t="s">
        <v>271</v>
      </c>
      <c r="G283" s="129">
        <f t="shared" si="50"/>
        <v>435000</v>
      </c>
      <c r="H283" s="129">
        <f t="shared" si="50"/>
        <v>435000</v>
      </c>
      <c r="I283" s="130">
        <f t="shared" si="48"/>
        <v>100</v>
      </c>
    </row>
    <row r="284" spans="1:9" s="99" customFormat="1" ht="24">
      <c r="A284" s="104" t="s">
        <v>411</v>
      </c>
      <c r="B284" s="127" t="s">
        <v>415</v>
      </c>
      <c r="C284" s="127" t="s">
        <v>18</v>
      </c>
      <c r="D284" s="127" t="s">
        <v>12</v>
      </c>
      <c r="E284" s="128" t="s">
        <v>264</v>
      </c>
      <c r="F284" s="128" t="s">
        <v>271</v>
      </c>
      <c r="G284" s="129">
        <f t="shared" si="50"/>
        <v>435000</v>
      </c>
      <c r="H284" s="129">
        <f t="shared" si="50"/>
        <v>435000</v>
      </c>
      <c r="I284" s="130">
        <f t="shared" si="48"/>
        <v>100</v>
      </c>
    </row>
    <row r="285" spans="1:9" s="99" customFormat="1" ht="12">
      <c r="A285" s="104" t="s">
        <v>265</v>
      </c>
      <c r="B285" s="127" t="s">
        <v>415</v>
      </c>
      <c r="C285" s="127" t="s">
        <v>18</v>
      </c>
      <c r="D285" s="127" t="s">
        <v>12</v>
      </c>
      <c r="E285" s="128" t="s">
        <v>266</v>
      </c>
      <c r="F285" s="128" t="s">
        <v>271</v>
      </c>
      <c r="G285" s="129">
        <f t="shared" si="50"/>
        <v>435000</v>
      </c>
      <c r="H285" s="129">
        <f t="shared" si="50"/>
        <v>435000</v>
      </c>
      <c r="I285" s="130">
        <f t="shared" si="48"/>
        <v>100</v>
      </c>
    </row>
    <row r="286" spans="1:9" s="99" customFormat="1" ht="12">
      <c r="A286" s="104" t="s">
        <v>68</v>
      </c>
      <c r="B286" s="127" t="s">
        <v>415</v>
      </c>
      <c r="C286" s="127" t="s">
        <v>18</v>
      </c>
      <c r="D286" s="127" t="s">
        <v>12</v>
      </c>
      <c r="E286" s="128" t="s">
        <v>266</v>
      </c>
      <c r="F286" s="128" t="s">
        <v>257</v>
      </c>
      <c r="G286" s="129">
        <f t="shared" si="50"/>
        <v>435000</v>
      </c>
      <c r="H286" s="129">
        <f t="shared" si="50"/>
        <v>435000</v>
      </c>
      <c r="I286" s="130">
        <f t="shared" si="48"/>
        <v>100</v>
      </c>
    </row>
    <row r="287" spans="1:9" s="99" customFormat="1" ht="24">
      <c r="A287" s="104" t="s">
        <v>267</v>
      </c>
      <c r="B287" s="127" t="s">
        <v>415</v>
      </c>
      <c r="C287" s="127" t="s">
        <v>18</v>
      </c>
      <c r="D287" s="127" t="s">
        <v>12</v>
      </c>
      <c r="E287" s="128" t="s">
        <v>266</v>
      </c>
      <c r="F287" s="128" t="s">
        <v>268</v>
      </c>
      <c r="G287" s="129">
        <f t="shared" si="50"/>
        <v>435000</v>
      </c>
      <c r="H287" s="129">
        <f t="shared" si="50"/>
        <v>435000</v>
      </c>
      <c r="I287" s="130">
        <f t="shared" si="48"/>
        <v>100</v>
      </c>
    </row>
    <row r="288" spans="1:9" s="99" customFormat="1" ht="12">
      <c r="A288" s="104" t="s">
        <v>269</v>
      </c>
      <c r="B288" s="127" t="s">
        <v>415</v>
      </c>
      <c r="C288" s="127" t="s">
        <v>18</v>
      </c>
      <c r="D288" s="127" t="s">
        <v>12</v>
      </c>
      <c r="E288" s="128" t="s">
        <v>266</v>
      </c>
      <c r="F288" s="128" t="s">
        <v>270</v>
      </c>
      <c r="G288" s="129">
        <f t="shared" si="50"/>
        <v>435000</v>
      </c>
      <c r="H288" s="129">
        <f t="shared" si="50"/>
        <v>435000</v>
      </c>
      <c r="I288" s="130">
        <f t="shared" si="48"/>
        <v>100</v>
      </c>
    </row>
    <row r="289" spans="1:11" s="103" customFormat="1" ht="12">
      <c r="A289" s="114" t="s">
        <v>272</v>
      </c>
      <c r="B289" s="132" t="s">
        <v>271</v>
      </c>
      <c r="C289" s="132" t="s">
        <v>271</v>
      </c>
      <c r="D289" s="132" t="s">
        <v>271</v>
      </c>
      <c r="E289" s="132" t="s">
        <v>271</v>
      </c>
      <c r="F289" s="132" t="s">
        <v>271</v>
      </c>
      <c r="G289" s="130">
        <f>G11+G99+G111+G146+G205+G232+G250+G281</f>
        <v>59504905.780000001</v>
      </c>
      <c r="H289" s="130">
        <f>H11+H99+H111+H146+H205+H232+H250+H281</f>
        <v>58640658.649999999</v>
      </c>
      <c r="I289" s="130">
        <f>H289/G289*100</f>
        <v>98.547603565334128</v>
      </c>
    </row>
    <row r="290" spans="1:11">
      <c r="A290" s="71"/>
      <c r="J290" s="117"/>
      <c r="K290" s="117"/>
    </row>
    <row r="291" spans="1:11">
      <c r="A291" s="71"/>
    </row>
    <row r="292" spans="1:11">
      <c r="A292" s="71"/>
    </row>
    <row r="293" spans="1:11">
      <c r="A293" s="71"/>
    </row>
    <row r="294" spans="1:11">
      <c r="A294" s="71"/>
    </row>
    <row r="295" spans="1:11">
      <c r="A295" s="71"/>
    </row>
    <row r="296" spans="1:11">
      <c r="A296" s="71"/>
    </row>
    <row r="297" spans="1:11">
      <c r="A297" s="71"/>
    </row>
    <row r="298" spans="1:11">
      <c r="A298" s="71"/>
    </row>
    <row r="299" spans="1:11">
      <c r="A299" s="71"/>
    </row>
    <row r="300" spans="1:11">
      <c r="A300" s="71"/>
    </row>
    <row r="301" spans="1:11">
      <c r="A301" s="71"/>
    </row>
    <row r="302" spans="1:11">
      <c r="A302" s="71"/>
    </row>
    <row r="303" spans="1:11">
      <c r="A303" s="71"/>
    </row>
    <row r="304" spans="1:11">
      <c r="A304" s="71"/>
    </row>
    <row r="305" spans="1:1">
      <c r="A305" s="71"/>
    </row>
    <row r="306" spans="1:1">
      <c r="A306" s="71"/>
    </row>
    <row r="307" spans="1:1">
      <c r="A307" s="71"/>
    </row>
    <row r="308" spans="1:1">
      <c r="A308" s="71"/>
    </row>
    <row r="309" spans="1:1">
      <c r="A309" s="71"/>
    </row>
    <row r="310" spans="1:1">
      <c r="A310" s="71"/>
    </row>
    <row r="311" spans="1:1">
      <c r="A311" s="71"/>
    </row>
    <row r="312" spans="1:1">
      <c r="A312" s="71"/>
    </row>
    <row r="313" spans="1:1">
      <c r="A313" s="71"/>
    </row>
    <row r="314" spans="1:1">
      <c r="A314" s="71"/>
    </row>
    <row r="315" spans="1:1">
      <c r="A315" s="71"/>
    </row>
    <row r="316" spans="1:1">
      <c r="A316" s="71"/>
    </row>
    <row r="317" spans="1:1">
      <c r="A317" s="71"/>
    </row>
    <row r="318" spans="1:1">
      <c r="A318" s="71"/>
    </row>
    <row r="319" spans="1:1">
      <c r="A319" s="71"/>
    </row>
    <row r="320" spans="1:1">
      <c r="A320" s="71"/>
    </row>
    <row r="321" spans="1:1">
      <c r="A321" s="71"/>
    </row>
    <row r="322" spans="1:1">
      <c r="A322" s="71"/>
    </row>
    <row r="323" spans="1:1">
      <c r="A323" s="71"/>
    </row>
    <row r="324" spans="1:1">
      <c r="A324" s="71"/>
    </row>
    <row r="325" spans="1:1">
      <c r="A325" s="71"/>
    </row>
    <row r="326" spans="1:1">
      <c r="A326" s="71"/>
    </row>
    <row r="327" spans="1:1">
      <c r="A327" s="71"/>
    </row>
    <row r="328" spans="1:1">
      <c r="A328" s="71"/>
    </row>
    <row r="329" spans="1:1">
      <c r="A329" s="71"/>
    </row>
    <row r="330" spans="1:1">
      <c r="A330" s="71"/>
    </row>
    <row r="331" spans="1:1">
      <c r="A331" s="71"/>
    </row>
    <row r="332" spans="1:1">
      <c r="A332" s="71"/>
    </row>
    <row r="578" spans="1:22"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</row>
    <row r="582" spans="1:22" s="119" customFormat="1">
      <c r="A582" s="118"/>
      <c r="B582" s="115"/>
      <c r="C582" s="122"/>
      <c r="D582" s="122"/>
      <c r="E582" s="115"/>
      <c r="F582" s="115"/>
      <c r="G582" s="116"/>
      <c r="H582" s="116"/>
      <c r="I582" s="115"/>
      <c r="J582" s="115"/>
      <c r="K582" s="115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</row>
  </sheetData>
  <autoFilter ref="A9:I289"/>
  <mergeCells count="1">
    <mergeCell ref="A6:I6"/>
  </mergeCells>
  <phoneticPr fontId="7" type="noConversion"/>
  <pageMargins left="0.74803149606299213" right="0.11811023622047245" top="0.51181102362204722" bottom="0.51181102362204722" header="0.51181102362204722" footer="0.51181102362204722"/>
  <pageSetup paperSize="9" scale="78" fitToHeight="0" orientation="portrait" r:id="rId1"/>
  <headerFooter alignWithMargins="0"/>
  <colBreaks count="1" manualBreakCount="1">
    <brk id="11" max="1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110" zoomScaleSheetLayoutView="110" workbookViewId="0">
      <selection activeCell="E16" sqref="E16"/>
    </sheetView>
  </sheetViews>
  <sheetFormatPr defaultRowHeight="12.75"/>
  <cols>
    <col min="1" max="1" width="49.85546875" style="73" customWidth="1"/>
    <col min="2" max="2" width="28.140625" style="73" customWidth="1"/>
    <col min="3" max="3" width="16.42578125" style="73" customWidth="1"/>
    <col min="4" max="4" width="17.140625" style="73" customWidth="1"/>
    <col min="5" max="5" width="15.140625" style="73" customWidth="1"/>
    <col min="6" max="16384" width="9.140625" style="73"/>
  </cols>
  <sheetData>
    <row r="1" spans="1:7">
      <c r="D1" s="147" t="s">
        <v>38</v>
      </c>
      <c r="E1" s="147"/>
      <c r="F1"/>
      <c r="G1"/>
    </row>
    <row r="2" spans="1:7">
      <c r="D2" s="68" t="s">
        <v>364</v>
      </c>
      <c r="E2" s="68"/>
      <c r="F2" s="68"/>
      <c r="G2" s="68"/>
    </row>
    <row r="3" spans="1:7">
      <c r="D3" s="68" t="s">
        <v>108</v>
      </c>
      <c r="E3" s="68"/>
      <c r="F3" s="68"/>
      <c r="G3" s="68"/>
    </row>
    <row r="4" spans="1:7">
      <c r="D4" s="68" t="s">
        <v>363</v>
      </c>
      <c r="E4" s="68"/>
      <c r="F4" s="69"/>
      <c r="G4" s="67"/>
    </row>
    <row r="5" spans="1:7" ht="9.75" customHeight="1">
      <c r="C5" s="74"/>
      <c r="D5" s="39" t="str">
        <f>прил.1!C5</f>
        <v>от  29.04.2022г.  № 206</v>
      </c>
      <c r="E5" s="44"/>
      <c r="F5" s="45"/>
      <c r="G5"/>
    </row>
    <row r="6" spans="1:7" ht="45" customHeight="1">
      <c r="G6"/>
    </row>
    <row r="7" spans="1:7" ht="56.25" customHeight="1">
      <c r="A7" s="148" t="s">
        <v>369</v>
      </c>
      <c r="B7" s="148"/>
      <c r="C7" s="148"/>
      <c r="D7" s="148"/>
      <c r="E7" s="148"/>
    </row>
    <row r="8" spans="1:7">
      <c r="A8" s="75"/>
      <c r="B8" s="75"/>
      <c r="E8" s="76" t="s">
        <v>341</v>
      </c>
    </row>
    <row r="9" spans="1:7" ht="19.5" customHeight="1">
      <c r="A9" s="149" t="s">
        <v>342</v>
      </c>
      <c r="B9" s="149" t="s">
        <v>343</v>
      </c>
      <c r="C9" s="151" t="s">
        <v>420</v>
      </c>
      <c r="D9" s="146" t="s">
        <v>84</v>
      </c>
      <c r="E9" s="146" t="s">
        <v>49</v>
      </c>
    </row>
    <row r="10" spans="1:7">
      <c r="A10" s="150"/>
      <c r="B10" s="150"/>
      <c r="C10" s="151"/>
      <c r="D10" s="146"/>
      <c r="E10" s="146"/>
    </row>
    <row r="11" spans="1:7" ht="18.75" customHeight="1">
      <c r="A11" s="77" t="s">
        <v>344</v>
      </c>
      <c r="B11" s="78" t="s">
        <v>345</v>
      </c>
      <c r="C11" s="79">
        <f>C12</f>
        <v>2397587.8500000015</v>
      </c>
      <c r="D11" s="90">
        <f>D12</f>
        <v>1425217.8699999973</v>
      </c>
      <c r="E11" s="93">
        <f>E12</f>
        <v>59.443822673692495</v>
      </c>
    </row>
    <row r="12" spans="1:7" ht="33" customHeight="1">
      <c r="A12" s="77" t="s">
        <v>346</v>
      </c>
      <c r="B12" s="78" t="s">
        <v>347</v>
      </c>
      <c r="C12" s="79">
        <f>C13+C17</f>
        <v>2397587.8500000015</v>
      </c>
      <c r="D12" s="90">
        <f>D13+D17</f>
        <v>1425217.8699999973</v>
      </c>
      <c r="E12" s="93">
        <f>D12/C12*100</f>
        <v>59.443822673692495</v>
      </c>
    </row>
    <row r="13" spans="1:7" s="82" customFormat="1" ht="29.25" customHeight="1">
      <c r="A13" s="80" t="s">
        <v>348</v>
      </c>
      <c r="B13" s="78" t="s">
        <v>349</v>
      </c>
      <c r="C13" s="81">
        <f t="shared" ref="C13:E15" si="0">C14</f>
        <v>-57107317.93</v>
      </c>
      <c r="D13" s="91">
        <f t="shared" si="0"/>
        <v>-57215440.780000001</v>
      </c>
      <c r="E13" s="94">
        <f t="shared" si="0"/>
        <v>100.18933274038983</v>
      </c>
    </row>
    <row r="14" spans="1:7" ht="29.25" customHeight="1">
      <c r="A14" s="83" t="s">
        <v>350</v>
      </c>
      <c r="B14" s="84" t="s">
        <v>351</v>
      </c>
      <c r="C14" s="85">
        <f t="shared" si="0"/>
        <v>-57107317.93</v>
      </c>
      <c r="D14" s="92">
        <f t="shared" si="0"/>
        <v>-57215440.780000001</v>
      </c>
      <c r="E14" s="93">
        <f t="shared" si="0"/>
        <v>100.18933274038983</v>
      </c>
    </row>
    <row r="15" spans="1:7" ht="29.25" customHeight="1">
      <c r="A15" s="83" t="s">
        <v>352</v>
      </c>
      <c r="B15" s="84" t="s">
        <v>353</v>
      </c>
      <c r="C15" s="85">
        <f t="shared" si="0"/>
        <v>-57107317.93</v>
      </c>
      <c r="D15" s="92">
        <f t="shared" si="0"/>
        <v>-57215440.780000001</v>
      </c>
      <c r="E15" s="93">
        <f t="shared" si="0"/>
        <v>100.18933274038983</v>
      </c>
    </row>
    <row r="16" spans="1:7" ht="21">
      <c r="A16" s="86" t="s">
        <v>354</v>
      </c>
      <c r="B16" s="84" t="s">
        <v>416</v>
      </c>
      <c r="C16" s="85">
        <v>-57107317.93</v>
      </c>
      <c r="D16" s="92">
        <v>-57215440.780000001</v>
      </c>
      <c r="E16" s="93">
        <f>D16/C16*100</f>
        <v>100.18933274038983</v>
      </c>
    </row>
    <row r="17" spans="1:5" s="82" customFormat="1" ht="35.25" customHeight="1">
      <c r="A17" s="80" t="s">
        <v>355</v>
      </c>
      <c r="B17" s="78" t="s">
        <v>356</v>
      </c>
      <c r="C17" s="81">
        <f t="shared" ref="C17:E19" si="1">C18</f>
        <v>59504905.780000001</v>
      </c>
      <c r="D17" s="91">
        <f t="shared" si="1"/>
        <v>58640658.649999999</v>
      </c>
      <c r="E17" s="94">
        <f t="shared" si="1"/>
        <v>98.547603565334128</v>
      </c>
    </row>
    <row r="18" spans="1:5" ht="23.25" customHeight="1">
      <c r="A18" s="86" t="s">
        <v>357</v>
      </c>
      <c r="B18" s="84" t="s">
        <v>358</v>
      </c>
      <c r="C18" s="85">
        <f t="shared" si="1"/>
        <v>59504905.780000001</v>
      </c>
      <c r="D18" s="92">
        <f t="shared" si="1"/>
        <v>58640658.649999999</v>
      </c>
      <c r="E18" s="93">
        <f t="shared" si="1"/>
        <v>98.547603565334128</v>
      </c>
    </row>
    <row r="19" spans="1:5">
      <c r="A19" s="87" t="s">
        <v>359</v>
      </c>
      <c r="B19" s="84" t="s">
        <v>360</v>
      </c>
      <c r="C19" s="85">
        <f t="shared" si="1"/>
        <v>59504905.780000001</v>
      </c>
      <c r="D19" s="92">
        <f t="shared" si="1"/>
        <v>58640658.649999999</v>
      </c>
      <c r="E19" s="93">
        <f t="shared" si="1"/>
        <v>98.547603565334128</v>
      </c>
    </row>
    <row r="20" spans="1:5" ht="21">
      <c r="A20" s="86" t="s">
        <v>361</v>
      </c>
      <c r="B20" s="84" t="s">
        <v>417</v>
      </c>
      <c r="C20" s="85">
        <v>59504905.780000001</v>
      </c>
      <c r="D20" s="92">
        <v>58640658.649999999</v>
      </c>
      <c r="E20" s="93">
        <f>D20/C20*100</f>
        <v>98.547603565334128</v>
      </c>
    </row>
    <row r="21" spans="1:5" ht="21">
      <c r="A21" s="88" t="s">
        <v>362</v>
      </c>
      <c r="B21" s="89"/>
      <c r="C21" s="79">
        <f>C16+C20</f>
        <v>2397587.8500000015</v>
      </c>
      <c r="D21" s="90">
        <f>D16+D20</f>
        <v>1425217.8699999973</v>
      </c>
      <c r="E21" s="93">
        <f>D21/C21*100</f>
        <v>59.443822673692495</v>
      </c>
    </row>
  </sheetData>
  <mergeCells count="7">
    <mergeCell ref="E9:E10"/>
    <mergeCell ref="D1:E1"/>
    <mergeCell ref="A7:E7"/>
    <mergeCell ref="A9:A10"/>
    <mergeCell ref="B9:B10"/>
    <mergeCell ref="C9:C10"/>
    <mergeCell ref="D9:D10"/>
  </mergeCells>
  <pageMargins left="0.75" right="0.34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прил.1</vt:lpstr>
      <vt:lpstr>прил.2</vt:lpstr>
      <vt:lpstr>прил.3</vt:lpstr>
      <vt:lpstr>прил.4</vt:lpstr>
      <vt:lpstr>прил.5</vt:lpstr>
      <vt:lpstr>прил.3!Заголовки_для_печати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Юрист</cp:lastModifiedBy>
  <cp:lastPrinted>2021-04-26T08:28:31Z</cp:lastPrinted>
  <dcterms:created xsi:type="dcterms:W3CDTF">2008-02-18T07:33:24Z</dcterms:created>
  <dcterms:modified xsi:type="dcterms:W3CDTF">2022-04-27T09:41:10Z</dcterms:modified>
</cp:coreProperties>
</file>